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6 Blue Ridge/"/>
    </mc:Choice>
  </mc:AlternateContent>
  <xr:revisionPtr revIDLastSave="0" documentId="13_ncr:1_{0CA0488B-1480-2E49-B897-45E98012888E}" xr6:coauthVersionLast="43" xr6:coauthVersionMax="43" xr10:uidLastSave="{00000000-0000-0000-0000-000000000000}"/>
  <bookViews>
    <workbookView xWindow="0" yWindow="460" windowWidth="23040" windowHeight="9380" tabRatio="749" xr2:uid="{00000000-000D-0000-FFFF-FFFF00000000}"/>
  </bookViews>
  <sheets>
    <sheet name="Morphology Summary" sheetId="73" r:id="rId1"/>
    <sheet name="Cross-section" sheetId="81" r:id="rId2"/>
    <sheet name="Longitudinal Profile" sheetId="70" r:id="rId3"/>
  </sheets>
  <externalReferences>
    <externalReference r:id="rId4"/>
  </externalReferences>
  <definedNames>
    <definedName name="BA">[1]v!$A$7</definedName>
    <definedName name="BH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>[1]v!#REF!</definedName>
    <definedName name="_xlnm.Print_Area" localSheetId="0">'Morphology Summary'!$B$2:$E$40</definedName>
    <definedName name="PS">[1]v!#REF!</definedName>
    <definedName name="RS">[1]v!#REF!</definedName>
    <definedName name="SA">[1]v!$A$26</definedName>
    <definedName name="SH">[1]v!$A$23</definedName>
    <definedName name="SL">[1]v!$A$4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>[1]v!#REF!</definedName>
    <definedName name="xx">[1]v!#REF!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81" l="1"/>
  <c r="F31" i="81" s="1"/>
  <c r="K29" i="81"/>
  <c r="G42" i="81" s="1"/>
  <c r="E42" i="81"/>
  <c r="E33" i="81"/>
  <c r="G33" i="81" s="1"/>
  <c r="E32" i="81"/>
  <c r="G32" i="81" s="1"/>
  <c r="E41" i="81"/>
  <c r="G16" i="70"/>
  <c r="E35" i="81"/>
  <c r="F35" i="81" s="1"/>
  <c r="E29" i="81"/>
  <c r="F29" i="81" s="1"/>
  <c r="E30" i="81"/>
  <c r="H30" i="81" s="1"/>
  <c r="G30" i="81"/>
  <c r="E34" i="81"/>
  <c r="G34" i="81" s="1"/>
  <c r="G35" i="81"/>
  <c r="E36" i="81"/>
  <c r="F36" i="81" s="1"/>
  <c r="G36" i="81"/>
  <c r="E37" i="81"/>
  <c r="F37" i="81" s="1"/>
  <c r="G37" i="81"/>
  <c r="E38" i="81"/>
  <c r="F38" i="81" s="1"/>
  <c r="G38" i="81"/>
  <c r="E39" i="81"/>
  <c r="F39" i="81" s="1"/>
  <c r="G39" i="81"/>
  <c r="E40" i="81"/>
  <c r="F40" i="81" s="1"/>
  <c r="G40" i="81"/>
  <c r="H41" i="81"/>
  <c r="E43" i="81"/>
  <c r="H43" i="81"/>
  <c r="E44" i="81"/>
  <c r="H44" i="81"/>
  <c r="E45" i="81"/>
  <c r="H45" i="81"/>
  <c r="E46" i="81"/>
  <c r="H46" i="81"/>
  <c r="E47" i="81"/>
  <c r="H47" i="81"/>
  <c r="E48" i="81"/>
  <c r="H48" i="81"/>
  <c r="E49" i="81"/>
  <c r="H49" i="81"/>
  <c r="E50" i="81"/>
  <c r="H50" i="81"/>
  <c r="E51" i="81"/>
  <c r="H51" i="81"/>
  <c r="K31" i="81"/>
  <c r="C6" i="70"/>
  <c r="H7" i="70"/>
  <c r="C12" i="73" s="1"/>
  <c r="G15" i="70"/>
  <c r="M16" i="70" s="1"/>
  <c r="N16" i="70" s="1"/>
  <c r="H8" i="70"/>
  <c r="G7" i="81"/>
  <c r="C15" i="73" s="1"/>
  <c r="G12" i="81"/>
  <c r="C20" i="73" s="1"/>
  <c r="G14" i="81"/>
  <c r="C22" i="73" s="1"/>
  <c r="K39" i="81"/>
  <c r="G15" i="81" s="1"/>
  <c r="C23" i="73" s="1"/>
  <c r="L30" i="70"/>
  <c r="K30" i="70"/>
  <c r="G30" i="70"/>
  <c r="E30" i="70"/>
  <c r="K25" i="70"/>
  <c r="K29" i="70"/>
  <c r="K28" i="70"/>
  <c r="K27" i="70"/>
  <c r="K26" i="70"/>
  <c r="K24" i="70"/>
  <c r="K23" i="70"/>
  <c r="K22" i="70"/>
  <c r="K21" i="70"/>
  <c r="K20" i="70"/>
  <c r="K19" i="70"/>
  <c r="K18" i="70"/>
  <c r="K17" i="70"/>
  <c r="K16" i="70"/>
  <c r="L23" i="70"/>
  <c r="K15" i="70"/>
  <c r="G29" i="70"/>
  <c r="M30" i="70"/>
  <c r="N30" i="70" s="1"/>
  <c r="G28" i="70"/>
  <c r="G27" i="70"/>
  <c r="M27" i="70" s="1"/>
  <c r="N27" i="70" s="1"/>
  <c r="G26" i="70"/>
  <c r="G25" i="70"/>
  <c r="G24" i="70"/>
  <c r="G23" i="70"/>
  <c r="M24" i="70" s="1"/>
  <c r="N24" i="70" s="1"/>
  <c r="G22" i="70"/>
  <c r="M22" i="70" s="1"/>
  <c r="N22" i="70" s="1"/>
  <c r="G21" i="70"/>
  <c r="G20" i="70"/>
  <c r="G19" i="70"/>
  <c r="M20" i="70" s="1"/>
  <c r="N20" i="70" s="1"/>
  <c r="G18" i="70"/>
  <c r="G17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U8" i="70"/>
  <c r="D33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5" i="70"/>
  <c r="M26" i="70"/>
  <c r="N26" i="70" s="1"/>
  <c r="M29" i="70"/>
  <c r="T7" i="70"/>
  <c r="C37" i="73" s="1"/>
  <c r="U7" i="70"/>
  <c r="D37" i="73"/>
  <c r="V7" i="70"/>
  <c r="E37" i="73" s="1"/>
  <c r="T8" i="70"/>
  <c r="C33" i="73"/>
  <c r="C34" i="73" s="1"/>
  <c r="V8" i="70"/>
  <c r="E33" i="73" s="1"/>
  <c r="V10" i="70"/>
  <c r="E39" i="73"/>
  <c r="U10" i="70"/>
  <c r="D39" i="73" s="1"/>
  <c r="T10" i="70"/>
  <c r="C39" i="73"/>
  <c r="V9" i="70"/>
  <c r="E35" i="73" s="1"/>
  <c r="U9" i="70"/>
  <c r="D35" i="73"/>
  <c r="T9" i="70"/>
  <c r="C35" i="73" s="1"/>
  <c r="H10" i="70"/>
  <c r="E15" i="73"/>
  <c r="H11" i="70"/>
  <c r="C11" i="73"/>
  <c r="N29" i="70"/>
  <c r="N25" i="70"/>
  <c r="M21" i="70"/>
  <c r="N21" i="70" s="1"/>
  <c r="M17" i="70"/>
  <c r="N17" i="70"/>
  <c r="M18" i="70"/>
  <c r="N18" i="70" s="1"/>
  <c r="D15" i="73"/>
  <c r="D23" i="73"/>
  <c r="E23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8" i="73" l="1"/>
  <c r="C36" i="73"/>
  <c r="E38" i="73"/>
  <c r="D34" i="73"/>
  <c r="E36" i="73"/>
  <c r="D36" i="73"/>
  <c r="E34" i="73"/>
  <c r="D38" i="73"/>
  <c r="G29" i="81"/>
  <c r="H42" i="81"/>
  <c r="F42" i="81"/>
  <c r="F51" i="81"/>
  <c r="F49" i="81"/>
  <c r="F47" i="81"/>
  <c r="F45" i="81"/>
  <c r="F43" i="81"/>
  <c r="F32" i="81"/>
  <c r="F41" i="81"/>
  <c r="M23" i="70"/>
  <c r="N23" i="70" s="1"/>
  <c r="M28" i="70"/>
  <c r="N28" i="70" s="1"/>
  <c r="H9" i="70"/>
  <c r="G51" i="81"/>
  <c r="G50" i="81"/>
  <c r="G49" i="81"/>
  <c r="G48" i="81"/>
  <c r="G47" i="81"/>
  <c r="G46" i="81"/>
  <c r="G45" i="81"/>
  <c r="G44" i="81"/>
  <c r="G43" i="81"/>
  <c r="H40" i="81"/>
  <c r="H39" i="81"/>
  <c r="H38" i="81"/>
  <c r="H37" i="81"/>
  <c r="H36" i="81"/>
  <c r="H35" i="81"/>
  <c r="F34" i="81"/>
  <c r="F33" i="81"/>
  <c r="H29" i="81"/>
  <c r="G31" i="81"/>
  <c r="H31" i="81" s="1"/>
  <c r="F50" i="81"/>
  <c r="F48" i="81"/>
  <c r="F46" i="81"/>
  <c r="F44" i="81"/>
  <c r="G41" i="81"/>
  <c r="H34" i="81"/>
  <c r="H33" i="81"/>
  <c r="F30" i="81"/>
  <c r="H32" i="81" s="1"/>
  <c r="M19" i="70"/>
  <c r="N19" i="70" s="1"/>
  <c r="K34" i="81" l="1"/>
  <c r="K30" i="81"/>
  <c r="K40" i="81"/>
  <c r="C10" i="73"/>
  <c r="C40" i="73" l="1"/>
  <c r="D40" i="73"/>
  <c r="E40" i="73"/>
  <c r="K32" i="81"/>
  <c r="G6" i="81"/>
  <c r="C14" i="73" s="1"/>
  <c r="G10" i="81"/>
  <c r="C18" i="73" s="1"/>
  <c r="K37" i="81"/>
  <c r="G13" i="81" s="1"/>
  <c r="C21" i="73" s="1"/>
  <c r="K35" i="81"/>
  <c r="G11" i="81" s="1"/>
  <c r="C19" i="73" s="1"/>
  <c r="G8" i="81" l="1"/>
  <c r="C16" i="73" s="1"/>
  <c r="K33" i="81"/>
  <c r="G9" i="81" s="1"/>
  <c r="C17" i="73" s="1"/>
  <c r="K42" i="81"/>
  <c r="K43" i="81" s="1"/>
  <c r="K46" i="81" l="1"/>
  <c r="K44" i="81"/>
  <c r="K45" i="81" l="1"/>
  <c r="G19" i="81" s="1"/>
  <c r="C26" i="73" s="1"/>
  <c r="G18" i="81"/>
  <c r="C25" i="73" s="1"/>
  <c r="K47" i="81"/>
  <c r="G21" i="81" s="1"/>
  <c r="C28" i="73" s="1"/>
  <c r="K49" i="81"/>
  <c r="G23" i="81" s="1"/>
  <c r="C30" i="73" s="1"/>
  <c r="K48" i="81"/>
  <c r="G22" i="81" s="1"/>
  <c r="C29" i="73" s="1"/>
  <c r="G20" i="81"/>
  <c r="C27" i="73" s="1"/>
</calcChain>
</file>

<file path=xl/sharedStrings.xml><?xml version="1.0" encoding="utf-8"?>
<sst xmlns="http://schemas.openxmlformats.org/spreadsheetml/2006/main" count="155" uniqueCount="103">
  <si>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</si>
  <si>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</si>
  <si>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</si>
  <si>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</si>
  <si>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</si>
  <si>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</si>
  <si>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</si>
  <si>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</si>
  <si>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</si>
  <si>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</si>
  <si>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</si>
  <si>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</si>
  <si>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</si>
  <si>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</si>
  <si>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</si>
  <si>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</si>
  <si>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</si>
  <si>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</si>
  <si>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</si>
  <si>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</si>
  <si>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</si>
  <si>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</si>
  <si>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</si>
  <si>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</si>
  <si>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</si>
  <si>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</si>
  <si>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</si>
  <si>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</si>
  <si>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</si>
  <si>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</si>
  <si>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</si>
  <si>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</si>
  <si>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</si>
  <si>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</si>
  <si>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</si>
  <si>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</si>
  <si>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</si>
  <si>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</si>
  <si>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</si>
  <si>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</si>
  <si>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</si>
  <si>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</si>
  <si>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</si>
  <si>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</si>
  <si>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</si>
  <si>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</si>
  <si>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</si>
  <si>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</si>
  <si>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</si>
  <si>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</si>
  <si>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</si>
  <si>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</si>
  <si>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</si>
  <si>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</si>
  <si>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</si>
  <si>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</si>
  <si>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</si>
  <si>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</si>
  <si>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</si>
  <si>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</si>
  <si>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</si>
  <si>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</si>
  <si>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</si>
  <si>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</si>
  <si>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</si>
  <si>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</si>
  <si>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</si>
  <si>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</si>
  <si>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</si>
  <si>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</si>
  <si>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</si>
  <si>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</si>
  <si>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</si>
  <si>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</si>
  <si>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</si>
  <si>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</si>
  <si>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</si>
  <si>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</si>
  <si>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</si>
  <si>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</si>
  <si>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</si>
  <si>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</si>
  <si>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</si>
  <si>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</si>
  <si>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</si>
  <si>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</si>
  <si>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</si>
  <si>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</si>
  <si>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</si>
  <si>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</si>
  <si>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</si>
  <si>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</si>
  <si>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</si>
  <si>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</si>
  <si>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</si>
  <si>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Wattacoo Creek, Naturaland Trust</t>
  </si>
  <si>
    <t>35.081739, -82.578104</t>
  </si>
  <si>
    <t>Wattacoo Creek</t>
  </si>
  <si>
    <t>B4c</t>
  </si>
  <si>
    <t>MAXP(204)</t>
  </si>
  <si>
    <t>HPOOL</t>
  </si>
  <si>
    <t>MAXPOOL</t>
  </si>
  <si>
    <t>40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</si>
</sst>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3" borderId="0" xfId="3" applyNumberFormat="1" applyFont="1" applyFill="1" applyAlignment="1">
      <alignment horizontal="left" vertical="center"/>
    </xf>
    <xf numFmtId="0" fontId="6" fillId="3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3" borderId="0" xfId="3" applyNumberFormat="1" applyFont="1" applyFill="1" applyAlignment="1">
      <alignment horizontal="left" vertical="center"/>
    </xf>
    <xf numFmtId="15" fontId="6" fillId="3" borderId="0" xfId="3" applyNumberFormat="1" applyFont="1" applyFill="1" applyAlignment="1">
      <alignment horizontal="center" vertical="center"/>
    </xf>
    <xf numFmtId="0" fontId="6" fillId="3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3" borderId="15" xfId="3" applyNumberFormat="1" applyFont="1" applyFill="1" applyBorder="1" applyAlignment="1">
      <alignment horizontal="center" vertical="center"/>
    </xf>
    <xf numFmtId="0" fontId="6" fillId="3" borderId="16" xfId="3" applyNumberFormat="1" applyFont="1" applyFill="1" applyBorder="1" applyAlignment="1">
      <alignment horizontal="center" vertical="center"/>
    </xf>
    <xf numFmtId="0" fontId="6" fillId="3" borderId="17" xfId="3" applyNumberFormat="1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center" vertical="center"/>
    </xf>
    <xf numFmtId="0" fontId="6" fillId="3" borderId="6" xfId="3" applyNumberFormat="1" applyFont="1" applyFill="1" applyBorder="1" applyAlignment="1">
      <alignment horizontal="center" vertical="center"/>
    </xf>
    <xf numFmtId="0" fontId="6" fillId="3" borderId="8" xfId="3" applyNumberFormat="1" applyFont="1" applyFill="1" applyBorder="1" applyAlignment="1">
      <alignment horizontal="center" vertical="center"/>
    </xf>
    <xf numFmtId="2" fontId="6" fillId="3" borderId="5" xfId="3" applyNumberFormat="1" applyFont="1" applyFill="1" applyBorder="1" applyAlignment="1">
      <alignment horizontal="center" vertical="center"/>
    </xf>
    <xf numFmtId="2" fontId="6" fillId="3" borderId="6" xfId="3" applyNumberFormat="1" applyFont="1" applyFill="1" applyBorder="1" applyAlignment="1">
      <alignment horizontal="center" vertical="center"/>
    </xf>
    <xf numFmtId="2" fontId="6" fillId="3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3" borderId="5" xfId="3" applyNumberFormat="1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164" fontId="6" fillId="3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</cellXfs>
  <cellStyles count="8">
    <cellStyle name="Comma 2" xfId="7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_Cove Creek Design Reach Summary" xfId="3" xr:uid="{00000000-0005-0000-0000-000004000000}"/>
    <cellStyle name="Normal_Cove Creek Design Reach Summary 2" xfId="4" xr:uid="{00000000-0005-0000-0000-000005000000}"/>
    <cellStyle name="Normal_Cove Creek Design Reach Summary 3" xfId="5" xr:uid="{00000000-0005-0000-0000-000006000000}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2.4</c:v>
                </c:pt>
                <c:pt idx="2">
                  <c:v>2.5</c:v>
                </c:pt>
                <c:pt idx="3">
                  <c:v>2.8</c:v>
                </c:pt>
                <c:pt idx="4">
                  <c:v>4.7</c:v>
                </c:pt>
                <c:pt idx="5">
                  <c:v>6.2</c:v>
                </c:pt>
                <c:pt idx="6">
                  <c:v>9.5</c:v>
                </c:pt>
                <c:pt idx="7">
                  <c:v>12</c:v>
                </c:pt>
                <c:pt idx="8">
                  <c:v>15</c:v>
                </c:pt>
                <c:pt idx="9">
                  <c:v>19.2</c:v>
                </c:pt>
                <c:pt idx="10">
                  <c:v>20.2</c:v>
                </c:pt>
                <c:pt idx="11">
                  <c:v>21</c:v>
                </c:pt>
                <c:pt idx="12">
                  <c:v>24.5</c:v>
                </c:pt>
                <c:pt idx="13">
                  <c:v>30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96.45</c:v>
                </c:pt>
                <c:pt idx="1">
                  <c:v>94.99</c:v>
                </c:pt>
                <c:pt idx="2">
                  <c:v>94.31</c:v>
                </c:pt>
                <c:pt idx="3">
                  <c:v>92.7</c:v>
                </c:pt>
                <c:pt idx="4">
                  <c:v>92.01</c:v>
                </c:pt>
                <c:pt idx="5">
                  <c:v>91.94</c:v>
                </c:pt>
                <c:pt idx="6">
                  <c:v>92</c:v>
                </c:pt>
                <c:pt idx="7">
                  <c:v>92.08</c:v>
                </c:pt>
                <c:pt idx="8">
                  <c:v>92.27</c:v>
                </c:pt>
                <c:pt idx="9">
                  <c:v>92.56</c:v>
                </c:pt>
                <c:pt idx="10">
                  <c:v>94.31</c:v>
                </c:pt>
                <c:pt idx="11">
                  <c:v>94.74</c:v>
                </c:pt>
                <c:pt idx="12">
                  <c:v>95.48</c:v>
                </c:pt>
                <c:pt idx="13">
                  <c:v>95.73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35168"/>
        <c:axId val="152135952"/>
      </c:scatterChart>
      <c:valAx>
        <c:axId val="1521351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135952"/>
        <c:crosses val="autoZero"/>
        <c:crossBetween val="midCat"/>
      </c:valAx>
      <c:valAx>
        <c:axId val="152135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13516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92.11</c:v>
                </c:pt>
                <c:pt idx="1">
                  <c:v>91.8</c:v>
                </c:pt>
                <c:pt idx="2">
                  <c:v>90.91</c:v>
                </c:pt>
                <c:pt idx="3">
                  <c:v>90.61</c:v>
                </c:pt>
                <c:pt idx="4">
                  <c:v>90.7</c:v>
                </c:pt>
                <c:pt idx="5">
                  <c:v>91.24</c:v>
                </c:pt>
                <c:pt idx="6">
                  <c:v>90.5</c:v>
                </c:pt>
                <c:pt idx="7">
                  <c:v>90.25</c:v>
                </c:pt>
                <c:pt idx="8">
                  <c:v>90.9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92.61</c:v>
                </c:pt>
                <c:pt idx="1">
                  <c:v>92.3</c:v>
                </c:pt>
                <c:pt idx="2">
                  <c:v>91.81</c:v>
                </c:pt>
                <c:pt idx="3">
                  <c:v>91.81</c:v>
                </c:pt>
                <c:pt idx="4">
                  <c:v>91.81</c:v>
                </c:pt>
                <c:pt idx="5">
                  <c:v>91.81</c:v>
                </c:pt>
                <c:pt idx="6">
                  <c:v>91.4</c:v>
                </c:pt>
                <c:pt idx="7">
                  <c:v>91.4</c:v>
                </c:pt>
                <c:pt idx="8">
                  <c:v>91.4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ser>
          <c:idx val="2"/>
          <c:order val="2"/>
          <c:tx>
            <c:v>Bankfull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Profile'!$I$15:$I$45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B4-4108-BF60-05BFAD67A354}"/>
            </c:ext>
          </c:extLst>
        </c:ser>
        <c:ser>
          <c:idx val="3"/>
          <c:order val="3"/>
          <c:tx>
            <c:v>TOB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'Longitudinal Profile'!$C$15:$C$51</c:f>
              <c:numCache>
                <c:formatCode>0.0</c:formatCode>
                <c:ptCount val="37"/>
                <c:pt idx="0">
                  <c:v>7</c:v>
                </c:pt>
                <c:pt idx="1">
                  <c:v>40</c:v>
                </c:pt>
                <c:pt idx="2">
                  <c:v>79</c:v>
                </c:pt>
                <c:pt idx="3">
                  <c:v>88</c:v>
                </c:pt>
                <c:pt idx="4">
                  <c:v>107</c:v>
                </c:pt>
                <c:pt idx="5">
                  <c:v>132</c:v>
                </c:pt>
                <c:pt idx="6">
                  <c:v>170</c:v>
                </c:pt>
                <c:pt idx="7">
                  <c:v>177</c:v>
                </c:pt>
                <c:pt idx="8">
                  <c:v>189</c:v>
                </c:pt>
              </c:numCache>
            </c:numRef>
          </c:xVal>
          <c:yVal>
            <c:numRef>
              <c:f>'Longitudinal Profile'!$K$15:$K$51</c:f>
              <c:numCache>
                <c:formatCode>0.00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136344"/>
        <c:axId val="152134384"/>
      </c:scatterChart>
      <c:valAx>
        <c:axId val="152136344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2134384"/>
        <c:crosses val="autoZero"/>
        <c:crossBetween val="midCat"/>
        <c:minorUnit val="25"/>
      </c:valAx>
      <c:valAx>
        <c:axId val="1521343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52136344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E40"/>
  <sheetViews>
    <sheetView tabSelected="1" zoomScaleNormal="100" workbookViewId="0"/>
  </sheetViews>
  <sheetFormatPr baseColWidth="10" defaultColWidth="14" defaultRowHeight="17" customHeight="1" x14ac:dyDescent="0.1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2" customFormat="1" ht="17" customHeight="1" x14ac:dyDescent="0.15">
      <c r="B1" s="102" t="s">
        <v>95</v>
      </c>
      <c r="C1" s="103">
        <v>43563</v>
      </c>
      <c r="D1" s="98"/>
      <c r="E1" s="104" t="s">
        <v>96</v>
      </c>
    </row>
    <row r="2" spans="2:5" ht="17" customHeight="1" x14ac:dyDescent="0.15">
      <c r="B2" s="105" t="s">
        <v>62</v>
      </c>
    </row>
    <row r="3" spans="2:5" ht="17" customHeight="1" x14ac:dyDescent="0.15">
      <c r="B3" s="97" t="s">
        <v>16</v>
      </c>
      <c r="C3" s="98"/>
    </row>
    <row r="4" spans="2:5" ht="17" customHeight="1" x14ac:dyDescent="0.15">
      <c r="B4" s="58"/>
    </row>
    <row r="5" spans="2:5" ht="17" customHeight="1" thickBot="1" x14ac:dyDescent="0.2">
      <c r="B5" s="106" t="s">
        <v>17</v>
      </c>
      <c r="C5" s="129" t="s">
        <v>48</v>
      </c>
      <c r="D5" s="129"/>
      <c r="E5" s="129"/>
    </row>
    <row r="6" spans="2:5" ht="17" customHeight="1" thickTop="1" x14ac:dyDescent="0.15">
      <c r="B6" s="14" t="s">
        <v>57</v>
      </c>
      <c r="C6" s="130" t="s">
        <v>97</v>
      </c>
      <c r="D6" s="131"/>
      <c r="E6" s="132"/>
    </row>
    <row r="7" spans="2:5" ht="17" customHeight="1" x14ac:dyDescent="0.15">
      <c r="B7" s="14" t="s">
        <v>56</v>
      </c>
      <c r="C7" s="133" t="s">
        <v>98</v>
      </c>
      <c r="D7" s="134"/>
      <c r="E7" s="135"/>
    </row>
    <row r="8" spans="2:5" ht="17" customHeight="1" x14ac:dyDescent="0.15">
      <c r="B8" s="14" t="s">
        <v>21</v>
      </c>
      <c r="C8" s="136">
        <v>2.0099999999999998</v>
      </c>
      <c r="D8" s="137"/>
      <c r="E8" s="138"/>
    </row>
    <row r="9" spans="2:5" ht="17" customHeight="1" x14ac:dyDescent="0.15">
      <c r="B9" s="14" t="s">
        <v>83</v>
      </c>
      <c r="C9" s="148" t="s">
        <v>102</v>
      </c>
      <c r="D9" s="149"/>
      <c r="E9" s="150"/>
    </row>
    <row r="10" spans="2:5" ht="17" customHeight="1" x14ac:dyDescent="0.15">
      <c r="B10" s="14" t="s">
        <v>50</v>
      </c>
      <c r="C10" s="142">
        <f>'Longitudinal Profile'!H9</f>
        <v>6.648351648351614E-3</v>
      </c>
      <c r="D10" s="143"/>
      <c r="E10" s="144"/>
    </row>
    <row r="11" spans="2:5" ht="17" customHeight="1" x14ac:dyDescent="0.15">
      <c r="B11" s="14" t="s">
        <v>51</v>
      </c>
      <c r="C11" s="151">
        <f>'Longitudinal Profile'!H11</f>
        <v>1.0705882352941176</v>
      </c>
      <c r="D11" s="152"/>
      <c r="E11" s="153"/>
    </row>
    <row r="12" spans="2:5" ht="17" customHeight="1" thickBot="1" x14ac:dyDescent="0.2">
      <c r="B12" s="14" t="s">
        <v>23</v>
      </c>
      <c r="C12" s="145">
        <f>'Longitudinal Profile'!H7</f>
        <v>182</v>
      </c>
      <c r="D12" s="146"/>
      <c r="E12" s="147"/>
    </row>
    <row r="13" spans="2:5" ht="17" customHeight="1" thickTop="1" x14ac:dyDescent="0.15">
      <c r="B13" s="109" t="s">
        <v>17</v>
      </c>
      <c r="C13" s="139" t="s">
        <v>61</v>
      </c>
      <c r="D13" s="140"/>
      <c r="E13" s="141"/>
    </row>
    <row r="14" spans="2:5" ht="17" customHeight="1" x14ac:dyDescent="0.15">
      <c r="B14" s="107" t="s">
        <v>68</v>
      </c>
      <c r="C14" s="126">
        <f>'Cross-section'!G6</f>
        <v>36.175000000000047</v>
      </c>
      <c r="D14" s="127"/>
      <c r="E14" s="128"/>
    </row>
    <row r="15" spans="2:5" ht="17" customHeight="1" x14ac:dyDescent="0.15">
      <c r="B15" s="39" t="s">
        <v>69</v>
      </c>
      <c r="C15" s="126">
        <f>'Cross-section'!G7</f>
        <v>17.7</v>
      </c>
      <c r="D15" s="127">
        <f>'Cross-section'!H7</f>
        <v>0</v>
      </c>
      <c r="E15" s="128">
        <f>'Cross-section'!I7</f>
        <v>0</v>
      </c>
    </row>
    <row r="16" spans="2:5" ht="17" customHeight="1" x14ac:dyDescent="0.15">
      <c r="B16" s="39" t="s">
        <v>70</v>
      </c>
      <c r="C16" s="126">
        <f>'Cross-section'!G8</f>
        <v>2.0437853107344659</v>
      </c>
      <c r="D16" s="127">
        <f>'Cross-section'!H8</f>
        <v>0</v>
      </c>
      <c r="E16" s="128">
        <f>'Cross-section'!I8</f>
        <v>0</v>
      </c>
    </row>
    <row r="17" spans="2:5" ht="17" customHeight="1" x14ac:dyDescent="0.15">
      <c r="B17" s="39" t="s">
        <v>71</v>
      </c>
      <c r="C17" s="126">
        <f>'Cross-section'!G9</f>
        <v>8.6604008293019934</v>
      </c>
      <c r="D17" s="127">
        <f>'Cross-section'!H9</f>
        <v>0</v>
      </c>
      <c r="E17" s="128">
        <f>'Cross-section'!I9</f>
        <v>0</v>
      </c>
    </row>
    <row r="18" spans="2:5" ht="17" customHeight="1" x14ac:dyDescent="0.15">
      <c r="B18" s="39" t="s">
        <v>72</v>
      </c>
      <c r="C18" s="126">
        <f>'Cross-section'!G10</f>
        <v>2.3700000000000045</v>
      </c>
      <c r="D18" s="127">
        <f>'Cross-section'!H10</f>
        <v>0</v>
      </c>
      <c r="E18" s="128">
        <f>'Cross-section'!I10</f>
        <v>0</v>
      </c>
    </row>
    <row r="19" spans="2:5" ht="17" customHeight="1" x14ac:dyDescent="0.15">
      <c r="B19" s="39" t="s">
        <v>73</v>
      </c>
      <c r="C19" s="126">
        <f>'Cross-section'!G11</f>
        <v>1.1596129923980656</v>
      </c>
      <c r="D19" s="127">
        <f>'Cross-section'!H11</f>
        <v>0</v>
      </c>
      <c r="E19" s="128">
        <f>'Cross-section'!I11</f>
        <v>0</v>
      </c>
    </row>
    <row r="20" spans="2:5" ht="17" customHeight="1" x14ac:dyDescent="0.15">
      <c r="B20" s="39" t="s">
        <v>25</v>
      </c>
      <c r="C20" s="126">
        <f>'Cross-section'!G12</f>
        <v>2.37</v>
      </c>
      <c r="D20" s="127">
        <f>'Cross-section'!H12</f>
        <v>0</v>
      </c>
      <c r="E20" s="128">
        <f>'Cross-section'!I12</f>
        <v>0</v>
      </c>
    </row>
    <row r="21" spans="2:5" ht="17" customHeight="1" x14ac:dyDescent="0.15">
      <c r="B21" s="39" t="s">
        <v>74</v>
      </c>
      <c r="C21" s="126">
        <f>'Cross-section'!G13</f>
        <v>0.99999999999999811</v>
      </c>
      <c r="D21" s="127">
        <f>'Cross-section'!H13</f>
        <v>0</v>
      </c>
      <c r="E21" s="128">
        <f>'Cross-section'!I13</f>
        <v>0</v>
      </c>
    </row>
    <row r="22" spans="2:5" ht="17" customHeight="1" x14ac:dyDescent="0.15">
      <c r="B22" s="39" t="s">
        <v>75</v>
      </c>
      <c r="C22" s="126">
        <f>'Cross-section'!G14</f>
        <v>31.2</v>
      </c>
      <c r="D22" s="127">
        <f>'Cross-section'!H14</f>
        <v>0</v>
      </c>
      <c r="E22" s="128">
        <f>'Cross-section'!I14</f>
        <v>0</v>
      </c>
    </row>
    <row r="23" spans="2:5" ht="17" customHeight="1" thickBot="1" x14ac:dyDescent="0.2">
      <c r="B23" s="108" t="s">
        <v>76</v>
      </c>
      <c r="C23" s="126">
        <f>'Cross-section'!G15</f>
        <v>1.7627118644067796</v>
      </c>
      <c r="D23" s="127">
        <f>'Cross-section'!H15</f>
        <v>0</v>
      </c>
      <c r="E23" s="128">
        <f>'Cross-section'!I15</f>
        <v>0</v>
      </c>
    </row>
    <row r="24" spans="2:5" ht="17" customHeight="1" thickTop="1" x14ac:dyDescent="0.15">
      <c r="B24" s="109" t="s">
        <v>17</v>
      </c>
      <c r="C24" s="123" t="s">
        <v>52</v>
      </c>
      <c r="D24" s="124"/>
      <c r="E24" s="125"/>
    </row>
    <row r="25" spans="2:5" ht="17" customHeight="1" x14ac:dyDescent="0.15">
      <c r="B25" s="39" t="s">
        <v>77</v>
      </c>
      <c r="C25" s="126">
        <f>'Cross-section'!G18</f>
        <v>131.13757929836984</v>
      </c>
      <c r="D25" s="127">
        <f>'Cross-section'!H18</f>
        <v>0</v>
      </c>
      <c r="E25" s="128">
        <f>'Cross-section'!I18</f>
        <v>0</v>
      </c>
    </row>
    <row r="26" spans="2:5" ht="17" customHeight="1" x14ac:dyDescent="0.15">
      <c r="B26" s="39" t="s">
        <v>78</v>
      </c>
      <c r="C26" s="126">
        <f>'Cross-section'!G19</f>
        <v>3.625088577701995</v>
      </c>
      <c r="D26" s="127">
        <f>'Cross-section'!H19</f>
        <v>0</v>
      </c>
      <c r="E26" s="128">
        <f>'Cross-section'!I19</f>
        <v>0</v>
      </c>
    </row>
    <row r="27" spans="2:5" ht="17" customHeight="1" x14ac:dyDescent="0.15">
      <c r="B27" s="39" t="s">
        <v>49</v>
      </c>
      <c r="C27" s="126">
        <f>'Cross-section'!G20</f>
        <v>0.68880819268895954</v>
      </c>
      <c r="D27" s="127">
        <f>'Cross-section'!H20</f>
        <v>0</v>
      </c>
      <c r="E27" s="128">
        <f>'Cross-section'!I20</f>
        <v>0</v>
      </c>
    </row>
    <row r="28" spans="2:5" ht="17" customHeight="1" x14ac:dyDescent="0.15">
      <c r="B28" s="39" t="s">
        <v>79</v>
      </c>
      <c r="C28" s="126">
        <f>'Cross-section'!G21</f>
        <v>2.496990711544302</v>
      </c>
      <c r="D28" s="127">
        <f>'Cross-section'!H21</f>
        <v>0</v>
      </c>
      <c r="E28" s="128">
        <f>'Cross-section'!I21</f>
        <v>0</v>
      </c>
    </row>
    <row r="29" spans="2:5" ht="17" customHeight="1" x14ac:dyDescent="0.15">
      <c r="B29" s="14" t="s">
        <v>63</v>
      </c>
      <c r="C29" s="126">
        <f>'Cross-section'!G22</f>
        <v>55.95917157233729</v>
      </c>
      <c r="D29" s="127">
        <f>'Cross-section'!H22</f>
        <v>0</v>
      </c>
      <c r="E29" s="128">
        <f>'Cross-section'!I22</f>
        <v>0</v>
      </c>
    </row>
    <row r="30" spans="2:5" ht="17" customHeight="1" thickBot="1" x14ac:dyDescent="0.2">
      <c r="B30" s="14" t="s">
        <v>64</v>
      </c>
      <c r="C30" s="126">
        <f>'Cross-section'!G23</f>
        <v>169.01881754287481</v>
      </c>
      <c r="D30" s="127">
        <f>'Cross-section'!H23</f>
        <v>0</v>
      </c>
      <c r="E30" s="128">
        <f>'Cross-section'!I23</f>
        <v>0</v>
      </c>
    </row>
    <row r="31" spans="2:5" ht="17" customHeight="1" thickTop="1" x14ac:dyDescent="0.15">
      <c r="B31" s="121" t="s">
        <v>17</v>
      </c>
      <c r="C31" s="118" t="s">
        <v>55</v>
      </c>
      <c r="D31" s="119"/>
      <c r="E31" s="120"/>
    </row>
    <row r="32" spans="2:5" ht="17" customHeight="1" thickBot="1" x14ac:dyDescent="0.2">
      <c r="B32" s="122"/>
      <c r="C32" s="110" t="s">
        <v>18</v>
      </c>
      <c r="D32" s="110" t="s">
        <v>19</v>
      </c>
      <c r="E32" s="110" t="s">
        <v>20</v>
      </c>
    </row>
    <row r="33" spans="2:5" ht="17" customHeight="1" thickTop="1" x14ac:dyDescent="0.15">
      <c r="B33" s="39" t="s">
        <v>88</v>
      </c>
      <c r="C33" s="13">
        <f>+'Longitudinal Profile'!T8</f>
        <v>19</v>
      </c>
      <c r="D33" s="13">
        <f>+'Longitudinal Profile'!U8</f>
        <v>36</v>
      </c>
      <c r="E33" s="13">
        <f>+'Longitudinal Profile'!V8</f>
        <v>53</v>
      </c>
    </row>
    <row r="34" spans="2:5" ht="17" customHeight="1" x14ac:dyDescent="0.15">
      <c r="B34" s="39" t="s">
        <v>89</v>
      </c>
      <c r="C34" s="13">
        <f>C33/$C$15</f>
        <v>1.0734463276836159</v>
      </c>
      <c r="D34" s="13">
        <f t="shared" ref="D34:E34" si="0">D33/$C$15</f>
        <v>2.0338983050847457</v>
      </c>
      <c r="E34" s="13">
        <f t="shared" si="0"/>
        <v>2.9943502824858759</v>
      </c>
    </row>
    <row r="35" spans="2:5" ht="17" customHeight="1" x14ac:dyDescent="0.15">
      <c r="B35" s="39" t="s">
        <v>22</v>
      </c>
      <c r="C35" s="15">
        <f>+'Longitudinal Profile'!T9</f>
        <v>27</v>
      </c>
      <c r="D35" s="15">
        <f>+'Longitudinal Profile'!U9</f>
        <v>58</v>
      </c>
      <c r="E35" s="15">
        <f>+'Longitudinal Profile'!V9</f>
        <v>89</v>
      </c>
    </row>
    <row r="36" spans="2:5" ht="17" customHeight="1" x14ac:dyDescent="0.15">
      <c r="B36" s="39" t="s">
        <v>90</v>
      </c>
      <c r="C36" s="13">
        <f>C35/$C$15</f>
        <v>1.5254237288135595</v>
      </c>
      <c r="D36" s="13">
        <f t="shared" ref="D36" si="1">D35/$C$15</f>
        <v>3.2768361581920904</v>
      </c>
      <c r="E36" s="13">
        <f t="shared" ref="E36" si="2">E35/$C$15</f>
        <v>5.028248587570622</v>
      </c>
    </row>
    <row r="37" spans="2:5" ht="17" customHeight="1" x14ac:dyDescent="0.15">
      <c r="B37" s="39" t="s">
        <v>91</v>
      </c>
      <c r="C37" s="13">
        <f>+'Longitudinal Profile'!T7</f>
        <v>38</v>
      </c>
      <c r="D37" s="13">
        <f>+'Longitudinal Profile'!U7</f>
        <v>55</v>
      </c>
      <c r="E37" s="13">
        <f>+'Longitudinal Profile'!V7</f>
        <v>72</v>
      </c>
    </row>
    <row r="38" spans="2:5" ht="17" customHeight="1" x14ac:dyDescent="0.15">
      <c r="B38" s="39" t="s">
        <v>92</v>
      </c>
      <c r="C38" s="13">
        <f>C37/$C$15</f>
        <v>2.1468926553672318</v>
      </c>
      <c r="D38" s="13">
        <f t="shared" ref="D38" si="3">D37/$C$15</f>
        <v>3.1073446327683616</v>
      </c>
      <c r="E38" s="13">
        <f t="shared" ref="E38" si="4">E37/$C$15</f>
        <v>4.0677966101694913</v>
      </c>
    </row>
    <row r="39" spans="2:5" ht="17" customHeight="1" x14ac:dyDescent="0.15">
      <c r="B39" s="39" t="s">
        <v>93</v>
      </c>
      <c r="C39" s="61">
        <f>+'Longitudinal Profile'!T10</f>
        <v>1.11E-2</v>
      </c>
      <c r="D39" s="61">
        <f>+'Longitudinal Profile'!U10</f>
        <v>1.1349999999999999E-2</v>
      </c>
      <c r="E39" s="61">
        <f>+'Longitudinal Profile'!V10</f>
        <v>1.1599999999999999E-2</v>
      </c>
    </row>
    <row r="40" spans="2:5" ht="17" customHeight="1" x14ac:dyDescent="0.15">
      <c r="B40" s="39" t="s">
        <v>94</v>
      </c>
      <c r="C40" s="13">
        <f>C39/$C$10</f>
        <v>1.6695867768595127</v>
      </c>
      <c r="D40" s="13">
        <f t="shared" ref="D40:E40" si="5">D39/$C$10</f>
        <v>1.7071900826446367</v>
      </c>
      <c r="E40" s="13">
        <f t="shared" si="5"/>
        <v>1.7447933884297611</v>
      </c>
    </row>
  </sheetData>
  <mergeCells count="28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1:E31"/>
    <mergeCell ref="B31:B32"/>
    <mergeCell ref="C24:E24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2"/>
  <sheetViews>
    <sheetView topLeftCell="A25" zoomScaleNormal="100" workbookViewId="0">
      <selection activeCell="B1" sqref="B1"/>
    </sheetView>
  </sheetViews>
  <sheetFormatPr baseColWidth="10" defaultColWidth="7.6640625" defaultRowHeight="16.5" customHeight="1" x14ac:dyDescent="0.1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83203125" style="4" customWidth="1"/>
    <col min="11" max="16384" width="7.6640625" style="2"/>
  </cols>
  <sheetData>
    <row r="2" spans="2:12" ht="16.5" customHeight="1" x14ac:dyDescent="0.15">
      <c r="B2" s="1" t="s">
        <v>67</v>
      </c>
      <c r="I2" s="3"/>
      <c r="K2" s="5"/>
      <c r="L2" s="6"/>
    </row>
    <row r="3" spans="2:12" ht="16.5" customHeight="1" x14ac:dyDescent="0.15">
      <c r="B3" s="99" t="s">
        <v>14</v>
      </c>
      <c r="C3" s="111"/>
      <c r="D3" s="111"/>
      <c r="E3" s="111"/>
      <c r="K3" s="5"/>
      <c r="L3" s="8"/>
    </row>
    <row r="4" spans="2:12" ht="16.5" customHeight="1" x14ac:dyDescent="0.15">
      <c r="B4" s="9"/>
      <c r="C4" s="10"/>
      <c r="D4" s="10"/>
      <c r="E4" s="10"/>
      <c r="K4" s="5"/>
      <c r="L4" s="5"/>
    </row>
    <row r="5" spans="2:12" ht="16.5" customHeight="1" x14ac:dyDescent="0.15">
      <c r="B5" s="157" t="s">
        <v>17</v>
      </c>
      <c r="C5" s="158"/>
      <c r="D5" s="158"/>
      <c r="E5" s="158"/>
      <c r="F5" s="159"/>
      <c r="G5" s="157" t="s">
        <v>61</v>
      </c>
      <c r="H5" s="158"/>
      <c r="I5" s="159"/>
      <c r="K5" s="5"/>
      <c r="L5" s="5"/>
    </row>
    <row r="6" spans="2:12" ht="16.5" customHeight="1" x14ac:dyDescent="0.15">
      <c r="B6" s="154" t="s">
        <v>68</v>
      </c>
      <c r="C6" s="155"/>
      <c r="D6" s="155"/>
      <c r="E6" s="155"/>
      <c r="F6" s="156"/>
      <c r="G6" s="160">
        <f>K30</f>
        <v>36.175000000000047</v>
      </c>
      <c r="H6" s="161"/>
      <c r="I6" s="162"/>
      <c r="K6" s="5"/>
      <c r="L6" s="5"/>
    </row>
    <row r="7" spans="2:12" ht="16.5" customHeight="1" x14ac:dyDescent="0.15">
      <c r="B7" s="154" t="s">
        <v>69</v>
      </c>
      <c r="C7" s="155"/>
      <c r="D7" s="155"/>
      <c r="E7" s="155"/>
      <c r="F7" s="156"/>
      <c r="G7" s="160">
        <f t="shared" ref="G7:G15" si="0">K31</f>
        <v>17.7</v>
      </c>
      <c r="H7" s="161"/>
      <c r="I7" s="162"/>
      <c r="J7" s="12"/>
      <c r="K7" s="5"/>
      <c r="L7" s="5"/>
    </row>
    <row r="8" spans="2:12" ht="16.5" customHeight="1" x14ac:dyDescent="0.15">
      <c r="B8" s="154" t="s">
        <v>70</v>
      </c>
      <c r="C8" s="155"/>
      <c r="D8" s="155"/>
      <c r="E8" s="155"/>
      <c r="F8" s="156"/>
      <c r="G8" s="160">
        <f t="shared" si="0"/>
        <v>2.0437853107344659</v>
      </c>
      <c r="H8" s="161"/>
      <c r="I8" s="162"/>
      <c r="J8" s="12"/>
      <c r="K8" s="5"/>
      <c r="L8" s="5"/>
    </row>
    <row r="9" spans="2:12" ht="16.5" customHeight="1" x14ac:dyDescent="0.15">
      <c r="B9" s="154" t="s">
        <v>71</v>
      </c>
      <c r="C9" s="155"/>
      <c r="D9" s="155"/>
      <c r="E9" s="155"/>
      <c r="F9" s="156"/>
      <c r="G9" s="160">
        <f t="shared" si="0"/>
        <v>8.6604008293019934</v>
      </c>
      <c r="H9" s="161"/>
      <c r="I9" s="162"/>
      <c r="J9" s="12"/>
      <c r="K9" s="5"/>
      <c r="L9" s="5"/>
    </row>
    <row r="10" spans="2:12" ht="16.5" customHeight="1" x14ac:dyDescent="0.15">
      <c r="B10" s="154" t="s">
        <v>72</v>
      </c>
      <c r="C10" s="155"/>
      <c r="D10" s="155"/>
      <c r="E10" s="155"/>
      <c r="F10" s="156"/>
      <c r="G10" s="160">
        <f t="shared" si="0"/>
        <v>2.3700000000000045</v>
      </c>
      <c r="H10" s="161"/>
      <c r="I10" s="162"/>
      <c r="J10" s="12"/>
      <c r="K10" s="5"/>
      <c r="L10" s="5"/>
    </row>
    <row r="11" spans="2:12" ht="16.5" customHeight="1" x14ac:dyDescent="0.15">
      <c r="B11" s="154" t="s">
        <v>73</v>
      </c>
      <c r="C11" s="155"/>
      <c r="D11" s="155"/>
      <c r="E11" s="155"/>
      <c r="F11" s="156"/>
      <c r="G11" s="160">
        <f t="shared" si="0"/>
        <v>1.1596129923980656</v>
      </c>
      <c r="H11" s="161"/>
      <c r="I11" s="162"/>
      <c r="J11" s="12"/>
      <c r="K11" s="5"/>
      <c r="L11" s="5"/>
    </row>
    <row r="12" spans="2:12" ht="16.5" customHeight="1" x14ac:dyDescent="0.15">
      <c r="B12" s="166" t="s">
        <v>25</v>
      </c>
      <c r="C12" s="167"/>
      <c r="D12" s="167"/>
      <c r="E12" s="167"/>
      <c r="F12" s="168"/>
      <c r="G12" s="160">
        <f t="shared" si="0"/>
        <v>2.37</v>
      </c>
      <c r="H12" s="161"/>
      <c r="I12" s="162"/>
      <c r="J12" s="12"/>
      <c r="K12" s="5"/>
      <c r="L12" s="5"/>
    </row>
    <row r="13" spans="2:12" ht="16.5" customHeight="1" x14ac:dyDescent="0.15">
      <c r="B13" s="166" t="s">
        <v>74</v>
      </c>
      <c r="C13" s="167"/>
      <c r="D13" s="167"/>
      <c r="E13" s="167"/>
      <c r="F13" s="168"/>
      <c r="G13" s="160">
        <f t="shared" si="0"/>
        <v>0.99999999999999811</v>
      </c>
      <c r="H13" s="161"/>
      <c r="I13" s="162"/>
      <c r="J13" s="12"/>
      <c r="K13" s="5"/>
      <c r="L13" s="5"/>
    </row>
    <row r="14" spans="2:12" ht="16.5" customHeight="1" x14ac:dyDescent="0.15">
      <c r="B14" s="163" t="s">
        <v>75</v>
      </c>
      <c r="C14" s="164"/>
      <c r="D14" s="164"/>
      <c r="E14" s="164"/>
      <c r="F14" s="165"/>
      <c r="G14" s="160">
        <f t="shared" si="0"/>
        <v>31.2</v>
      </c>
      <c r="H14" s="161"/>
      <c r="I14" s="162"/>
      <c r="J14" s="12"/>
      <c r="K14" s="5"/>
      <c r="L14" s="5"/>
    </row>
    <row r="15" spans="2:12" ht="16.5" customHeight="1" x14ac:dyDescent="0.15">
      <c r="B15" s="154" t="s">
        <v>76</v>
      </c>
      <c r="C15" s="155"/>
      <c r="D15" s="155"/>
      <c r="E15" s="155"/>
      <c r="F15" s="156"/>
      <c r="G15" s="160">
        <f t="shared" si="0"/>
        <v>1.7627118644067796</v>
      </c>
      <c r="H15" s="161"/>
      <c r="I15" s="162"/>
      <c r="J15" s="12"/>
      <c r="K15" s="5"/>
      <c r="L15" s="5"/>
    </row>
    <row r="16" spans="2:12" ht="16.5" customHeight="1" x14ac:dyDescent="0.15">
      <c r="J16" s="12"/>
      <c r="K16" s="5"/>
      <c r="L16" s="5"/>
    </row>
    <row r="17" spans="2:12" ht="16.5" customHeight="1" x14ac:dyDescent="0.15">
      <c r="B17" s="157" t="s">
        <v>17</v>
      </c>
      <c r="C17" s="158"/>
      <c r="D17" s="158"/>
      <c r="E17" s="158"/>
      <c r="F17" s="159"/>
      <c r="G17" s="157" t="s">
        <v>52</v>
      </c>
      <c r="H17" s="158"/>
      <c r="I17" s="159"/>
      <c r="K17" s="5"/>
      <c r="L17" s="5"/>
    </row>
    <row r="18" spans="2:12" ht="16.5" customHeight="1" x14ac:dyDescent="0.15">
      <c r="B18" s="154" t="s">
        <v>77</v>
      </c>
      <c r="C18" s="155"/>
      <c r="D18" s="155"/>
      <c r="E18" s="155"/>
      <c r="F18" s="156"/>
      <c r="G18" s="126">
        <f>K44</f>
        <v>131.13757929836984</v>
      </c>
      <c r="H18" s="127"/>
      <c r="I18" s="128"/>
      <c r="K18" s="5"/>
      <c r="L18" s="5"/>
    </row>
    <row r="19" spans="2:12" ht="16.5" customHeight="1" x14ac:dyDescent="0.15">
      <c r="B19" s="154" t="s">
        <v>78</v>
      </c>
      <c r="C19" s="155"/>
      <c r="D19" s="155"/>
      <c r="E19" s="155"/>
      <c r="F19" s="156"/>
      <c r="G19" s="126">
        <f t="shared" ref="G19:G23" si="1">K45</f>
        <v>3.625088577701995</v>
      </c>
      <c r="H19" s="127"/>
      <c r="I19" s="128"/>
      <c r="K19" s="5"/>
      <c r="L19" s="5"/>
    </row>
    <row r="20" spans="2:12" ht="16.5" customHeight="1" x14ac:dyDescent="0.15">
      <c r="B20" s="154" t="s">
        <v>79</v>
      </c>
      <c r="C20" s="155"/>
      <c r="D20" s="155"/>
      <c r="E20" s="155"/>
      <c r="F20" s="156"/>
      <c r="G20" s="126">
        <f t="shared" si="1"/>
        <v>0.68880819268895954</v>
      </c>
      <c r="H20" s="127"/>
      <c r="I20" s="128"/>
      <c r="J20" s="2"/>
      <c r="K20" s="5"/>
      <c r="L20" s="5"/>
    </row>
    <row r="21" spans="2:12" ht="16.5" customHeight="1" x14ac:dyDescent="0.15">
      <c r="B21" s="154" t="s">
        <v>47</v>
      </c>
      <c r="C21" s="155"/>
      <c r="D21" s="155"/>
      <c r="E21" s="155"/>
      <c r="F21" s="156"/>
      <c r="G21" s="126">
        <f t="shared" si="1"/>
        <v>2.496990711544302</v>
      </c>
      <c r="H21" s="127"/>
      <c r="I21" s="128"/>
      <c r="J21" s="2"/>
    </row>
    <row r="22" spans="2:12" ht="16.5" customHeight="1" x14ac:dyDescent="0.15">
      <c r="B22" s="14" t="s">
        <v>53</v>
      </c>
      <c r="C22" s="15"/>
      <c r="D22" s="15"/>
      <c r="E22" s="15"/>
      <c r="F22" s="14"/>
      <c r="G22" s="126">
        <f t="shared" si="1"/>
        <v>55.95917157233729</v>
      </c>
      <c r="H22" s="127"/>
      <c r="I22" s="128"/>
      <c r="J22" s="2"/>
    </row>
    <row r="23" spans="2:12" ht="16.5" customHeight="1" x14ac:dyDescent="0.15">
      <c r="B23" s="14" t="s">
        <v>54</v>
      </c>
      <c r="C23" s="16"/>
      <c r="D23" s="16"/>
      <c r="E23" s="16"/>
      <c r="F23" s="14"/>
      <c r="G23" s="126">
        <f t="shared" si="1"/>
        <v>169.01881754287481</v>
      </c>
      <c r="H23" s="127"/>
      <c r="I23" s="128"/>
      <c r="J23" s="2"/>
      <c r="K23" s="5"/>
      <c r="L23" s="5"/>
    </row>
    <row r="24" spans="2:12" ht="16.5" customHeight="1" x14ac:dyDescent="0.15">
      <c r="B24" s="9"/>
      <c r="C24" s="10"/>
      <c r="D24" s="10"/>
      <c r="E24" s="10"/>
      <c r="J24" s="2"/>
      <c r="K24" s="5"/>
      <c r="L24" s="5"/>
    </row>
    <row r="25" spans="2:12" ht="16.5" customHeight="1" x14ac:dyDescent="0.15">
      <c r="B25" s="17" t="s">
        <v>59</v>
      </c>
      <c r="C25" s="18"/>
      <c r="D25" s="18"/>
      <c r="E25" s="19" t="s">
        <v>60</v>
      </c>
      <c r="F25" s="100">
        <v>14</v>
      </c>
      <c r="J25" s="2"/>
      <c r="K25" s="5"/>
      <c r="L25" s="5"/>
    </row>
    <row r="26" spans="2:12" ht="16.5" customHeight="1" x14ac:dyDescent="0.15">
      <c r="B26" s="9"/>
      <c r="C26" s="10"/>
      <c r="D26" s="10"/>
      <c r="E26" s="10"/>
      <c r="K26" s="5"/>
      <c r="L26" s="5"/>
    </row>
    <row r="27" spans="2:12" ht="16.5" customHeight="1" x14ac:dyDescent="0.15">
      <c r="C27" s="20" t="s">
        <v>35</v>
      </c>
      <c r="D27" s="96">
        <v>100</v>
      </c>
      <c r="E27" s="4"/>
      <c r="I27" s="6"/>
      <c r="K27" s="22"/>
      <c r="L27" s="23"/>
    </row>
    <row r="28" spans="2:12" ht="16.5" customHeight="1" thickBot="1" x14ac:dyDescent="0.2">
      <c r="B28" s="24" t="s">
        <v>1</v>
      </c>
      <c r="C28" s="24" t="s">
        <v>0</v>
      </c>
      <c r="D28" s="24" t="s">
        <v>34</v>
      </c>
      <c r="E28" s="24" t="s">
        <v>7</v>
      </c>
      <c r="F28" s="24" t="s">
        <v>5</v>
      </c>
      <c r="G28" s="24" t="s">
        <v>4</v>
      </c>
      <c r="H28" s="24" t="s">
        <v>6</v>
      </c>
      <c r="J28" s="25" t="s">
        <v>17</v>
      </c>
      <c r="K28" s="26" t="s">
        <v>48</v>
      </c>
      <c r="L28" s="27"/>
    </row>
    <row r="29" spans="2:12" ht="16.5" customHeight="1" thickTop="1" x14ac:dyDescent="0.15">
      <c r="B29" s="112"/>
      <c r="C29" s="113">
        <v>0</v>
      </c>
      <c r="D29" s="114">
        <v>3.55</v>
      </c>
      <c r="E29" s="29">
        <f t="shared" ref="E29:E51" si="2">+$D$27-D29</f>
        <v>96.45</v>
      </c>
      <c r="F29" s="30">
        <f t="shared" ref="F29:F51" si="3">IF(E29&gt;0,IF(E29&lt;K$29,K$29-E29,0),0)</f>
        <v>0</v>
      </c>
      <c r="G29" s="31">
        <f t="shared" ref="G29:G51" si="4">IF(E29&gt;0,IF(E29&lt;=K$29,C29-C28,0),0)</f>
        <v>0</v>
      </c>
      <c r="H29" s="30">
        <f t="shared" ref="H29:H51" si="5">IF(E29&lt;=K$29,G29*(F28+F29)/2,0)</f>
        <v>0</v>
      </c>
      <c r="J29" s="32" t="s">
        <v>15</v>
      </c>
      <c r="K29" s="33">
        <f>LOOKUP("LBKF",B29:E50)</f>
        <v>94.31</v>
      </c>
      <c r="L29" s="34"/>
    </row>
    <row r="30" spans="2:12" ht="16.5" customHeight="1" x14ac:dyDescent="0.15">
      <c r="B30" s="112"/>
      <c r="C30" s="113">
        <v>2.4</v>
      </c>
      <c r="D30" s="114">
        <v>5.01</v>
      </c>
      <c r="E30" s="29">
        <f t="shared" si="2"/>
        <v>94.99</v>
      </c>
      <c r="F30" s="30">
        <f t="shared" si="3"/>
        <v>0</v>
      </c>
      <c r="G30" s="31">
        <f t="shared" si="4"/>
        <v>0</v>
      </c>
      <c r="H30" s="30">
        <f t="shared" si="5"/>
        <v>0</v>
      </c>
      <c r="J30" s="36" t="s">
        <v>68</v>
      </c>
      <c r="K30" s="11">
        <f>SUM(H29:H51)</f>
        <v>36.175000000000047</v>
      </c>
      <c r="L30" s="34"/>
    </row>
    <row r="31" spans="2:12" ht="16.5" customHeight="1" x14ac:dyDescent="0.15">
      <c r="B31" s="112" t="s">
        <v>2</v>
      </c>
      <c r="C31" s="113">
        <v>2.5</v>
      </c>
      <c r="D31" s="114">
        <v>5.69</v>
      </c>
      <c r="E31" s="29">
        <f t="shared" ref="E31" si="6">+$D$27-D31</f>
        <v>94.31</v>
      </c>
      <c r="F31" s="30">
        <f t="shared" ref="F31" si="7">IF(E31&gt;0,IF(E31&lt;K$29,K$29-E31,0),0)</f>
        <v>0</v>
      </c>
      <c r="G31" s="31">
        <f t="shared" ref="G31" si="8">IF(E31&gt;0,IF(E31&lt;=K$29,C31-C30,0),0)</f>
        <v>0.10000000000000009</v>
      </c>
      <c r="H31" s="30">
        <f t="shared" ref="H31" si="9">IF(E31&lt;=K$29,G31*(F30+F31)/2,0)</f>
        <v>0</v>
      </c>
      <c r="J31" s="36" t="s">
        <v>69</v>
      </c>
      <c r="K31" s="11">
        <f>LOOKUP("RBKF",B29:C50)-LOOKUP("LBKF",B29:C50)</f>
        <v>17.7</v>
      </c>
      <c r="L31" s="34"/>
    </row>
    <row r="32" spans="2:12" ht="16.5" customHeight="1" x14ac:dyDescent="0.15">
      <c r="B32" s="112"/>
      <c r="C32" s="113">
        <v>2.8</v>
      </c>
      <c r="D32" s="114">
        <v>7.3</v>
      </c>
      <c r="E32" s="29">
        <f t="shared" si="2"/>
        <v>92.7</v>
      </c>
      <c r="F32" s="30">
        <f t="shared" si="3"/>
        <v>1.6099999999999994</v>
      </c>
      <c r="G32" s="31">
        <f>IF(E32&gt;0,IF(E32&lt;=K$29,C32-C30,0),0)</f>
        <v>0.39999999999999991</v>
      </c>
      <c r="H32" s="30">
        <f>IF(E32&lt;=K$29,G32*(F30+F32)/2,0)</f>
        <v>0.32199999999999984</v>
      </c>
      <c r="J32" s="36" t="s">
        <v>70</v>
      </c>
      <c r="K32" s="11">
        <f>K30/K31</f>
        <v>2.0437853107344659</v>
      </c>
      <c r="L32" s="34"/>
    </row>
    <row r="33" spans="2:13" ht="16.5" customHeight="1" x14ac:dyDescent="0.15">
      <c r="B33" s="112"/>
      <c r="C33" s="113">
        <v>4.7</v>
      </c>
      <c r="D33" s="114">
        <v>7.99</v>
      </c>
      <c r="E33" s="29">
        <f t="shared" si="2"/>
        <v>92.01</v>
      </c>
      <c r="F33" s="30">
        <f t="shared" si="3"/>
        <v>2.2999999999999972</v>
      </c>
      <c r="G33" s="31">
        <f t="shared" si="4"/>
        <v>1.9000000000000004</v>
      </c>
      <c r="H33" s="30">
        <f t="shared" si="5"/>
        <v>3.7144999999999975</v>
      </c>
      <c r="J33" s="36" t="s">
        <v>71</v>
      </c>
      <c r="K33" s="37">
        <f>K31/K32</f>
        <v>8.6604008293019934</v>
      </c>
      <c r="L33" s="34"/>
    </row>
    <row r="34" spans="2:13" ht="16.5" customHeight="1" x14ac:dyDescent="0.15">
      <c r="B34" s="112"/>
      <c r="C34" s="113">
        <v>6.2</v>
      </c>
      <c r="D34" s="114">
        <v>8.06</v>
      </c>
      <c r="E34" s="29">
        <f t="shared" si="2"/>
        <v>91.94</v>
      </c>
      <c r="F34" s="30">
        <f t="shared" si="3"/>
        <v>2.3700000000000045</v>
      </c>
      <c r="G34" s="31">
        <f t="shared" si="4"/>
        <v>1.5</v>
      </c>
      <c r="H34" s="30">
        <f t="shared" si="5"/>
        <v>3.5025000000000013</v>
      </c>
      <c r="J34" s="36" t="s">
        <v>72</v>
      </c>
      <c r="K34" s="11">
        <f>MAX(F29:F51)</f>
        <v>2.3700000000000045</v>
      </c>
      <c r="L34" s="34"/>
    </row>
    <row r="35" spans="2:13" ht="16.5" customHeight="1" x14ac:dyDescent="0.15">
      <c r="B35" s="112"/>
      <c r="C35" s="113">
        <v>9.5</v>
      </c>
      <c r="D35" s="114">
        <v>8</v>
      </c>
      <c r="E35" s="29">
        <f t="shared" si="2"/>
        <v>92</v>
      </c>
      <c r="F35" s="30">
        <f t="shared" si="3"/>
        <v>2.3100000000000023</v>
      </c>
      <c r="G35" s="31">
        <f t="shared" si="4"/>
        <v>3.3</v>
      </c>
      <c r="H35" s="30">
        <f t="shared" si="5"/>
        <v>7.7220000000000111</v>
      </c>
      <c r="J35" s="36" t="s">
        <v>73</v>
      </c>
      <c r="K35" s="38">
        <f>K34/K32</f>
        <v>1.1596129923980656</v>
      </c>
      <c r="L35" s="34"/>
    </row>
    <row r="36" spans="2:13" ht="16.5" customHeight="1" x14ac:dyDescent="0.15">
      <c r="B36" s="112"/>
      <c r="C36" s="113">
        <v>12</v>
      </c>
      <c r="D36" s="114">
        <v>7.92</v>
      </c>
      <c r="E36" s="29">
        <f t="shared" si="2"/>
        <v>92.08</v>
      </c>
      <c r="F36" s="30">
        <f t="shared" si="3"/>
        <v>2.230000000000004</v>
      </c>
      <c r="G36" s="31">
        <f t="shared" si="4"/>
        <v>2.5</v>
      </c>
      <c r="H36" s="30">
        <f t="shared" si="5"/>
        <v>5.6750000000000078</v>
      </c>
      <c r="J36" s="39" t="s">
        <v>25</v>
      </c>
      <c r="K36" s="40">
        <v>2.37</v>
      </c>
      <c r="L36" s="34"/>
    </row>
    <row r="37" spans="2:13" ht="16.5" customHeight="1" x14ac:dyDescent="0.15">
      <c r="B37" s="112"/>
      <c r="C37" s="113">
        <v>15</v>
      </c>
      <c r="D37" s="114">
        <v>7.73</v>
      </c>
      <c r="E37" s="29">
        <f t="shared" si="2"/>
        <v>92.27</v>
      </c>
      <c r="F37" s="30">
        <f t="shared" si="3"/>
        <v>2.0400000000000063</v>
      </c>
      <c r="G37" s="31">
        <f t="shared" si="4"/>
        <v>3</v>
      </c>
      <c r="H37" s="30">
        <f t="shared" si="5"/>
        <v>6.4050000000000153</v>
      </c>
      <c r="J37" s="39" t="s">
        <v>74</v>
      </c>
      <c r="K37" s="41">
        <f>+K36/K34</f>
        <v>0.99999999999999811</v>
      </c>
      <c r="L37" s="34"/>
    </row>
    <row r="38" spans="2:13" ht="16.5" customHeight="1" x14ac:dyDescent="0.15">
      <c r="B38" s="112"/>
      <c r="C38" s="113">
        <v>19.2</v>
      </c>
      <c r="D38" s="114">
        <v>7.44</v>
      </c>
      <c r="E38" s="29">
        <f t="shared" si="2"/>
        <v>92.56</v>
      </c>
      <c r="F38" s="30">
        <f t="shared" si="3"/>
        <v>1.75</v>
      </c>
      <c r="G38" s="31">
        <f t="shared" si="4"/>
        <v>4.1999999999999993</v>
      </c>
      <c r="H38" s="30">
        <f t="shared" si="5"/>
        <v>7.9590000000000121</v>
      </c>
      <c r="J38" s="42" t="s">
        <v>75</v>
      </c>
      <c r="K38" s="43">
        <v>31.2</v>
      </c>
      <c r="L38" s="34"/>
    </row>
    <row r="39" spans="2:13" ht="16.5" customHeight="1" x14ac:dyDescent="0.15">
      <c r="B39" s="112" t="s">
        <v>3</v>
      </c>
      <c r="C39" s="113">
        <v>20.2</v>
      </c>
      <c r="D39" s="114">
        <v>5.69</v>
      </c>
      <c r="E39" s="29">
        <f t="shared" si="2"/>
        <v>94.31</v>
      </c>
      <c r="F39" s="30">
        <f t="shared" si="3"/>
        <v>0</v>
      </c>
      <c r="G39" s="31">
        <f t="shared" si="4"/>
        <v>1</v>
      </c>
      <c r="H39" s="30">
        <f t="shared" si="5"/>
        <v>0.875</v>
      </c>
      <c r="J39" s="36" t="s">
        <v>76</v>
      </c>
      <c r="K39" s="11">
        <f>K38/K31</f>
        <v>1.7627118644067796</v>
      </c>
      <c r="L39" s="34"/>
    </row>
    <row r="40" spans="2:13" ht="16.5" customHeight="1" x14ac:dyDescent="0.15">
      <c r="B40" s="112"/>
      <c r="C40" s="113">
        <v>21</v>
      </c>
      <c r="D40" s="114">
        <v>5.26</v>
      </c>
      <c r="E40" s="29">
        <f t="shared" si="2"/>
        <v>94.74</v>
      </c>
      <c r="F40" s="30">
        <f t="shared" si="3"/>
        <v>0</v>
      </c>
      <c r="G40" s="31">
        <f t="shared" si="4"/>
        <v>0</v>
      </c>
      <c r="H40" s="30">
        <f t="shared" si="5"/>
        <v>0</v>
      </c>
      <c r="J40" s="36" t="s">
        <v>8</v>
      </c>
      <c r="K40" s="101">
        <f>+'Longitudinal Profile'!$H$9</f>
        <v>6.648351648351614E-3</v>
      </c>
      <c r="L40" s="44"/>
    </row>
    <row r="41" spans="2:13" ht="16.5" customHeight="1" x14ac:dyDescent="0.15">
      <c r="B41" s="112"/>
      <c r="C41" s="113">
        <v>24.5</v>
      </c>
      <c r="D41" s="114">
        <v>4.5199999999999996</v>
      </c>
      <c r="E41" s="29">
        <f t="shared" si="2"/>
        <v>95.48</v>
      </c>
      <c r="F41" s="30">
        <f t="shared" si="3"/>
        <v>0</v>
      </c>
      <c r="G41" s="31">
        <f t="shared" si="4"/>
        <v>0</v>
      </c>
      <c r="H41" s="30">
        <f t="shared" si="5"/>
        <v>0</v>
      </c>
      <c r="J41" s="36" t="s">
        <v>10</v>
      </c>
      <c r="K41" s="45">
        <v>4.7E-2</v>
      </c>
      <c r="L41" s="44"/>
    </row>
    <row r="42" spans="2:13" ht="16.5" customHeight="1" x14ac:dyDescent="0.15">
      <c r="B42" s="112"/>
      <c r="C42" s="113">
        <v>30</v>
      </c>
      <c r="D42" s="114">
        <v>4.2699999999999996</v>
      </c>
      <c r="E42" s="29">
        <f t="shared" si="2"/>
        <v>95.73</v>
      </c>
      <c r="F42" s="30">
        <f t="shared" ref="F42" si="10">IF(E42&gt;0,IF(E42&lt;K$29,K$29-E42,0),0)</f>
        <v>0</v>
      </c>
      <c r="G42" s="31">
        <f t="shared" ref="G42" si="11">IF(E42&gt;0,IF(E42&lt;=K$29,C42-C41,0),0)</f>
        <v>0</v>
      </c>
      <c r="H42" s="30">
        <f t="shared" ref="H42" si="12">IF(E42&lt;=K$29,G42*(F41+F42)/2,0)</f>
        <v>0</v>
      </c>
      <c r="J42" s="36" t="s">
        <v>26</v>
      </c>
      <c r="K42" s="13">
        <f>K31+2*K32</f>
        <v>21.78757062146893</v>
      </c>
      <c r="L42" s="46"/>
      <c r="M42" s="46"/>
    </row>
    <row r="43" spans="2:13" ht="16.5" customHeight="1" x14ac:dyDescent="0.15">
      <c r="B43" s="112"/>
      <c r="C43" s="113"/>
      <c r="D43" s="114"/>
      <c r="E43" s="29">
        <f t="shared" si="2"/>
        <v>100</v>
      </c>
      <c r="F43" s="30">
        <f t="shared" si="3"/>
        <v>0</v>
      </c>
      <c r="G43" s="31">
        <f>IF(E43&gt;0,IF(E43&lt;=K$29,C43-C41,0),0)</f>
        <v>0</v>
      </c>
      <c r="H43" s="30">
        <f>IF(E43&lt;=K$29,G43*(F41+F43)/2,0)</f>
        <v>0</v>
      </c>
      <c r="J43" s="36" t="s">
        <v>9</v>
      </c>
      <c r="K43" s="13">
        <f>K30/K42</f>
        <v>1.6603503267295943</v>
      </c>
      <c r="L43" s="46"/>
      <c r="M43" s="46"/>
    </row>
    <row r="44" spans="2:13" ht="16.5" customHeight="1" x14ac:dyDescent="0.15">
      <c r="B44" s="112"/>
      <c r="C44" s="113"/>
      <c r="D44" s="114"/>
      <c r="E44" s="29">
        <f t="shared" si="2"/>
        <v>100</v>
      </c>
      <c r="F44" s="30">
        <f t="shared" si="3"/>
        <v>0</v>
      </c>
      <c r="G44" s="31">
        <f t="shared" si="4"/>
        <v>0</v>
      </c>
      <c r="H44" s="30">
        <f t="shared" si="5"/>
        <v>0</v>
      </c>
      <c r="J44" s="36" t="s">
        <v>77</v>
      </c>
      <c r="K44" s="13">
        <f>K30*1.49*(K43^0.667)*(K40^0.5)/K41</f>
        <v>131.13757929836984</v>
      </c>
    </row>
    <row r="45" spans="2:13" ht="16.5" customHeight="1" x14ac:dyDescent="0.15">
      <c r="B45" s="112"/>
      <c r="C45" s="113"/>
      <c r="D45" s="114"/>
      <c r="E45" s="29">
        <f t="shared" si="2"/>
        <v>100</v>
      </c>
      <c r="F45" s="30">
        <f t="shared" si="3"/>
        <v>0</v>
      </c>
      <c r="G45" s="31">
        <f t="shared" si="4"/>
        <v>0</v>
      </c>
      <c r="H45" s="30">
        <f t="shared" si="5"/>
        <v>0</v>
      </c>
      <c r="J45" s="36" t="s">
        <v>78</v>
      </c>
      <c r="K45" s="13">
        <f>K44/K30</f>
        <v>3.625088577701995</v>
      </c>
    </row>
    <row r="46" spans="2:13" ht="16.5" customHeight="1" x14ac:dyDescent="0.15">
      <c r="B46" s="112"/>
      <c r="C46" s="113"/>
      <c r="D46" s="114"/>
      <c r="E46" s="29">
        <f t="shared" si="2"/>
        <v>100</v>
      </c>
      <c r="F46" s="30">
        <f t="shared" si="3"/>
        <v>0</v>
      </c>
      <c r="G46" s="31">
        <f t="shared" si="4"/>
        <v>0</v>
      </c>
      <c r="H46" s="30">
        <f t="shared" si="5"/>
        <v>0</v>
      </c>
      <c r="J46" s="36" t="s">
        <v>79</v>
      </c>
      <c r="K46" s="41">
        <f>62.4*K43*K40</f>
        <v>0.68880819268895954</v>
      </c>
    </row>
    <row r="47" spans="2:13" ht="16.5" customHeight="1" x14ac:dyDescent="0.15">
      <c r="B47" s="112"/>
      <c r="C47" s="113"/>
      <c r="D47" s="114"/>
      <c r="E47" s="29">
        <f t="shared" si="2"/>
        <v>100</v>
      </c>
      <c r="F47" s="30">
        <f t="shared" si="3"/>
        <v>0</v>
      </c>
      <c r="G47" s="31">
        <f t="shared" si="4"/>
        <v>0</v>
      </c>
      <c r="H47" s="30">
        <f t="shared" si="5"/>
        <v>0</v>
      </c>
      <c r="J47" s="36" t="s">
        <v>47</v>
      </c>
      <c r="K47" s="41">
        <f>K46*K45</f>
        <v>2.496990711544302</v>
      </c>
    </row>
    <row r="48" spans="2:13" ht="16.5" customHeight="1" x14ac:dyDescent="0.15">
      <c r="B48" s="112"/>
      <c r="C48" s="113"/>
      <c r="D48" s="114"/>
      <c r="E48" s="29">
        <f t="shared" si="2"/>
        <v>100</v>
      </c>
      <c r="F48" s="30">
        <f t="shared" si="3"/>
        <v>0</v>
      </c>
      <c r="G48" s="31">
        <f t="shared" si="4"/>
        <v>0</v>
      </c>
      <c r="H48" s="30">
        <f t="shared" si="5"/>
        <v>0</v>
      </c>
      <c r="J48" s="14" t="s">
        <v>53</v>
      </c>
      <c r="K48" s="47">
        <f>77.966*(K46*1.042)</f>
        <v>55.95917157233729</v>
      </c>
    </row>
    <row r="49" spans="2:11" ht="16.5" customHeight="1" x14ac:dyDescent="0.15">
      <c r="B49" s="112"/>
      <c r="C49" s="113"/>
      <c r="D49" s="114"/>
      <c r="E49" s="29">
        <f t="shared" si="2"/>
        <v>100</v>
      </c>
      <c r="F49" s="30">
        <f t="shared" si="3"/>
        <v>0</v>
      </c>
      <c r="G49" s="31">
        <f t="shared" si="4"/>
        <v>0</v>
      </c>
      <c r="H49" s="30">
        <f t="shared" si="5"/>
        <v>0</v>
      </c>
      <c r="J49" s="14" t="s">
        <v>54</v>
      </c>
      <c r="K49" s="47">
        <f>253.7*(K46*0.9672)</f>
        <v>169.01881754287481</v>
      </c>
    </row>
    <row r="50" spans="2:11" ht="16.5" customHeight="1" x14ac:dyDescent="0.15">
      <c r="B50" s="112"/>
      <c r="C50" s="113"/>
      <c r="D50" s="114"/>
      <c r="E50" s="29">
        <f t="shared" si="2"/>
        <v>100</v>
      </c>
      <c r="F50" s="30">
        <f t="shared" si="3"/>
        <v>0</v>
      </c>
      <c r="G50" s="31">
        <f t="shared" si="4"/>
        <v>0</v>
      </c>
      <c r="H50" s="30">
        <f t="shared" si="5"/>
        <v>0</v>
      </c>
      <c r="J50" s="2"/>
    </row>
    <row r="51" spans="2:11" ht="16.5" customHeight="1" x14ac:dyDescent="0.15">
      <c r="B51" s="48"/>
      <c r="C51" s="113"/>
      <c r="D51" s="114"/>
      <c r="E51" s="29">
        <f t="shared" si="2"/>
        <v>100</v>
      </c>
      <c r="F51" s="30">
        <f t="shared" si="3"/>
        <v>0</v>
      </c>
      <c r="G51" s="31">
        <f t="shared" si="4"/>
        <v>0</v>
      </c>
      <c r="H51" s="30">
        <f t="shared" si="5"/>
        <v>0</v>
      </c>
    </row>
    <row r="52" spans="2:11" ht="16.5" customHeight="1" x14ac:dyDescent="0.15">
      <c r="C52" s="49"/>
      <c r="D52" s="49"/>
      <c r="E52" s="49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V51"/>
  <sheetViews>
    <sheetView zoomScaleNormal="100" workbookViewId="0"/>
  </sheetViews>
  <sheetFormatPr baseColWidth="10" defaultColWidth="11.33203125" defaultRowHeight="16.5" customHeight="1" x14ac:dyDescent="0.2"/>
  <cols>
    <col min="1" max="1" width="3.6640625" style="62" customWidth="1"/>
    <col min="2" max="3" width="11.33203125" style="62"/>
    <col min="4" max="4" width="11.33203125" style="62" customWidth="1"/>
    <col min="5" max="5" width="11.5" style="62" customWidth="1"/>
    <col min="6" max="6" width="12.5" style="62" customWidth="1"/>
    <col min="7" max="7" width="12.83203125" style="62" customWidth="1"/>
    <col min="8" max="8" width="11.83203125" style="62" customWidth="1"/>
    <col min="9" max="9" width="12.1640625" style="62" customWidth="1"/>
    <col min="10" max="11" width="13" style="62" customWidth="1"/>
    <col min="12" max="12" width="13.1640625" style="62" customWidth="1"/>
    <col min="13" max="13" width="11.1640625" style="62" customWidth="1"/>
    <col min="14" max="14" width="9.33203125" style="62" customWidth="1"/>
    <col min="15" max="15" width="11.5" style="62" customWidth="1"/>
    <col min="16" max="16" width="11.33203125" style="62"/>
    <col min="17" max="17" width="10.33203125" style="62" customWidth="1"/>
    <col min="18" max="18" width="10.1640625" style="62" customWidth="1"/>
    <col min="19" max="20" width="10.6640625" style="62" customWidth="1"/>
    <col min="21" max="16384" width="11.33203125" style="62"/>
  </cols>
  <sheetData>
    <row r="2" spans="2:22" ht="16.5" customHeight="1" x14ac:dyDescent="0.2">
      <c r="B2" s="50" t="s">
        <v>24</v>
      </c>
      <c r="C2" s="2"/>
      <c r="D2" s="51"/>
      <c r="I2" s="63"/>
    </row>
    <row r="3" spans="2:22" ht="16.5" customHeight="1" x14ac:dyDescent="0.2">
      <c r="B3" s="7" t="s">
        <v>14</v>
      </c>
      <c r="C3" s="64"/>
      <c r="D3" s="65"/>
      <c r="I3" s="54"/>
    </row>
    <row r="4" spans="2:22" ht="16.5" customHeight="1" x14ac:dyDescent="0.2">
      <c r="I4" s="66"/>
    </row>
    <row r="5" spans="2:22" ht="16.5" customHeight="1" thickBot="1" x14ac:dyDescent="0.25">
      <c r="B5" s="24" t="s">
        <v>58</v>
      </c>
      <c r="C5" s="24" t="s">
        <v>0</v>
      </c>
      <c r="D5" s="24" t="s">
        <v>65</v>
      </c>
      <c r="F5" s="67" t="s">
        <v>17</v>
      </c>
      <c r="G5" s="68"/>
      <c r="H5" s="24" t="s">
        <v>48</v>
      </c>
      <c r="I5" s="69"/>
      <c r="J5" s="172" t="s">
        <v>17</v>
      </c>
      <c r="K5" s="173"/>
      <c r="L5" s="176" t="s">
        <v>45</v>
      </c>
      <c r="M5" s="177"/>
      <c r="N5" s="177"/>
      <c r="O5" s="177"/>
      <c r="P5" s="177"/>
      <c r="Q5" s="177"/>
      <c r="R5" s="177"/>
      <c r="S5" s="178"/>
      <c r="T5" s="171" t="s">
        <v>33</v>
      </c>
      <c r="U5" s="171"/>
      <c r="V5" s="171"/>
    </row>
    <row r="6" spans="2:22" ht="16.5" customHeight="1" thickTop="1" thickBot="1" x14ac:dyDescent="0.25">
      <c r="B6" s="70" t="s">
        <v>12</v>
      </c>
      <c r="C6" s="71">
        <f>C15</f>
        <v>7</v>
      </c>
      <c r="D6" s="72">
        <v>92.61</v>
      </c>
      <c r="F6" s="174" t="s">
        <v>27</v>
      </c>
      <c r="G6" s="175"/>
      <c r="H6" s="73">
        <v>170</v>
      </c>
      <c r="I6" s="69"/>
      <c r="J6" s="173"/>
      <c r="K6" s="173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2">
      <c r="B7" s="20" t="s">
        <v>13</v>
      </c>
      <c r="C7" s="11">
        <v>189</v>
      </c>
      <c r="D7" s="72">
        <v>91.4</v>
      </c>
      <c r="F7" s="75" t="s">
        <v>28</v>
      </c>
      <c r="G7" s="76"/>
      <c r="H7" s="38">
        <f>C7-C6</f>
        <v>182</v>
      </c>
      <c r="I7" s="66"/>
      <c r="J7" s="172" t="s">
        <v>81</v>
      </c>
      <c r="K7" s="172"/>
      <c r="L7" s="40">
        <v>72</v>
      </c>
      <c r="M7" s="40">
        <v>38</v>
      </c>
      <c r="N7" s="40"/>
      <c r="O7" s="40"/>
      <c r="P7" s="40"/>
      <c r="Q7" s="40"/>
      <c r="R7" s="40"/>
      <c r="S7" s="40"/>
      <c r="T7" s="13">
        <f>MIN(L7:P7)</f>
        <v>38</v>
      </c>
      <c r="U7" s="13">
        <f>MEDIAN(L7:P7)</f>
        <v>55</v>
      </c>
      <c r="V7" s="13">
        <f>MAX(L7:P7)</f>
        <v>72</v>
      </c>
    </row>
    <row r="8" spans="2:22" ht="16.5" customHeight="1" x14ac:dyDescent="0.2">
      <c r="B8" s="77"/>
      <c r="C8" s="78" t="s">
        <v>84</v>
      </c>
      <c r="D8" s="96">
        <v>100</v>
      </c>
      <c r="F8" s="75" t="s">
        <v>29</v>
      </c>
      <c r="G8" s="76"/>
      <c r="H8" s="30">
        <f>D6-D7</f>
        <v>1.2099999999999937</v>
      </c>
      <c r="I8" s="52"/>
      <c r="J8" s="59" t="s">
        <v>80</v>
      </c>
      <c r="K8" s="59"/>
      <c r="L8" s="40">
        <v>53</v>
      </c>
      <c r="M8" s="40">
        <v>19</v>
      </c>
      <c r="N8" s="40"/>
      <c r="O8" s="40"/>
      <c r="P8" s="40"/>
      <c r="Q8" s="40"/>
      <c r="R8" s="40"/>
      <c r="S8" s="40"/>
      <c r="T8" s="13">
        <f>MIN(L8:P8)</f>
        <v>19</v>
      </c>
      <c r="U8" s="13">
        <f>MEDIAN(L8:P8)</f>
        <v>36</v>
      </c>
      <c r="V8" s="13">
        <f>MAX(L8:P8)</f>
        <v>53</v>
      </c>
    </row>
    <row r="9" spans="2:22" ht="16.5" customHeight="1" x14ac:dyDescent="0.2">
      <c r="B9" s="77"/>
      <c r="C9" s="78" t="s">
        <v>85</v>
      </c>
      <c r="D9" s="21"/>
      <c r="F9" s="75" t="s">
        <v>30</v>
      </c>
      <c r="G9" s="76"/>
      <c r="H9" s="79">
        <f>H8/H7</f>
        <v>6.648351648351614E-3</v>
      </c>
      <c r="I9" s="53"/>
      <c r="J9" s="59" t="s">
        <v>22</v>
      </c>
      <c r="K9" s="59"/>
      <c r="L9" s="40">
        <v>89</v>
      </c>
      <c r="M9" s="40">
        <v>27</v>
      </c>
      <c r="N9" s="40"/>
      <c r="O9" s="40"/>
      <c r="P9" s="40"/>
      <c r="Q9" s="40"/>
      <c r="R9" s="40"/>
      <c r="S9" s="40"/>
      <c r="T9" s="13">
        <f>MIN(L9:P9)</f>
        <v>27</v>
      </c>
      <c r="U9" s="13">
        <f>MEDIAN(L9:P9)</f>
        <v>58</v>
      </c>
      <c r="V9" s="13">
        <f>MAX(L9:P9)</f>
        <v>89</v>
      </c>
    </row>
    <row r="10" spans="2:22" ht="16.5" customHeight="1" x14ac:dyDescent="0.2">
      <c r="B10" s="77"/>
      <c r="C10" s="20" t="s">
        <v>86</v>
      </c>
      <c r="D10" s="21"/>
      <c r="F10" s="75" t="s">
        <v>31</v>
      </c>
      <c r="G10" s="76"/>
      <c r="H10" s="79">
        <f>H8/H6</f>
        <v>7.1176470588234925E-3</v>
      </c>
      <c r="I10" s="80"/>
      <c r="J10" s="115" t="s">
        <v>82</v>
      </c>
      <c r="K10" s="81"/>
      <c r="L10" s="82">
        <v>1.11E-2</v>
      </c>
      <c r="M10" s="82">
        <v>1.1599999999999999E-2</v>
      </c>
      <c r="N10" s="82"/>
      <c r="O10" s="82"/>
      <c r="P10" s="82"/>
      <c r="Q10" s="82"/>
      <c r="R10" s="82"/>
      <c r="S10" s="82"/>
      <c r="T10" s="13">
        <f>MIN(L10:P10)</f>
        <v>1.11E-2</v>
      </c>
      <c r="U10" s="13">
        <f>MEDIAN(L10:P10)</f>
        <v>1.1349999999999999E-2</v>
      </c>
      <c r="V10" s="13">
        <f>MAX(L10:P10)</f>
        <v>1.1599999999999999E-2</v>
      </c>
    </row>
    <row r="11" spans="2:22" ht="16.5" customHeight="1" x14ac:dyDescent="0.2">
      <c r="B11" s="2"/>
      <c r="C11" s="49"/>
      <c r="D11" s="49"/>
      <c r="F11" s="169" t="s">
        <v>32</v>
      </c>
      <c r="G11" s="170"/>
      <c r="H11" s="30">
        <f>H7/H6</f>
        <v>1.0705882352941176</v>
      </c>
      <c r="I11" s="80"/>
      <c r="J11" s="116"/>
      <c r="K11" s="117"/>
      <c r="L11" s="83"/>
      <c r="M11" s="83"/>
      <c r="N11" s="83"/>
      <c r="O11" s="83"/>
      <c r="P11" s="83"/>
      <c r="Q11" s="83"/>
      <c r="R11" s="83"/>
      <c r="S11" s="83"/>
      <c r="T11" s="46"/>
      <c r="U11" s="46"/>
      <c r="V11" s="46"/>
    </row>
    <row r="12" spans="2:22" ht="16.5" customHeight="1" x14ac:dyDescent="0.2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2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2">
      <c r="B14" s="78" t="s">
        <v>46</v>
      </c>
      <c r="C14" s="20" t="s">
        <v>0</v>
      </c>
      <c r="D14" s="20" t="s">
        <v>36</v>
      </c>
      <c r="E14" s="20" t="s">
        <v>37</v>
      </c>
      <c r="F14" s="20" t="s">
        <v>38</v>
      </c>
      <c r="G14" s="20" t="s">
        <v>39</v>
      </c>
      <c r="H14" s="20" t="s">
        <v>40</v>
      </c>
      <c r="I14" s="20" t="s">
        <v>41</v>
      </c>
      <c r="J14" s="20" t="s">
        <v>42</v>
      </c>
      <c r="K14" s="20" t="s">
        <v>43</v>
      </c>
      <c r="L14" s="20" t="s">
        <v>44</v>
      </c>
      <c r="M14" s="20" t="s">
        <v>66</v>
      </c>
      <c r="N14" s="20" t="s">
        <v>11</v>
      </c>
      <c r="O14" s="5"/>
      <c r="P14" s="5"/>
    </row>
    <row r="15" spans="2:22" ht="16.5" customHeight="1" x14ac:dyDescent="0.2">
      <c r="B15" s="55" t="s">
        <v>87</v>
      </c>
      <c r="C15" s="28">
        <v>7</v>
      </c>
      <c r="D15" s="35">
        <v>7.89</v>
      </c>
      <c r="E15" s="29">
        <f>+$D$8-D15</f>
        <v>92.11</v>
      </c>
      <c r="F15" s="35">
        <v>7.39</v>
      </c>
      <c r="G15" s="29">
        <f>+$D$8-F15</f>
        <v>92.61</v>
      </c>
      <c r="H15" s="35"/>
      <c r="I15" s="29"/>
      <c r="J15" s="35"/>
      <c r="K15" s="29" t="e">
        <f>IF(J15="",NA(),+$D$8-J15)</f>
        <v>#N/A</v>
      </c>
      <c r="L15" s="29"/>
      <c r="M15" s="29"/>
      <c r="N15" s="29"/>
      <c r="O15" s="85"/>
      <c r="P15" s="85"/>
    </row>
    <row r="16" spans="2:22" ht="16.5" customHeight="1" x14ac:dyDescent="0.2">
      <c r="B16" s="55"/>
      <c r="C16" s="28">
        <v>40</v>
      </c>
      <c r="D16" s="35">
        <v>8.1999999999999993</v>
      </c>
      <c r="E16" s="29">
        <f t="shared" ref="E16:E29" si="0">+$D$8-D16</f>
        <v>91.8</v>
      </c>
      <c r="F16" s="35">
        <v>7.7</v>
      </c>
      <c r="G16" s="29">
        <f t="shared" ref="G16:G29" si="1">+$D$8-F16</f>
        <v>92.3</v>
      </c>
      <c r="H16" s="35"/>
      <c r="I16" s="29"/>
      <c r="J16" s="35"/>
      <c r="K16" s="29" t="e">
        <f t="shared" ref="K16:K30" si="2">IF(J16="",NA(),+$D$8-J16)</f>
        <v>#N/A</v>
      </c>
      <c r="L16" s="11">
        <f t="shared" ref="L16:L29" si="3">C16-C15</f>
        <v>33</v>
      </c>
      <c r="M16" s="29">
        <f t="shared" ref="M16:M29" si="4">-(G16-G15)</f>
        <v>0.31000000000000227</v>
      </c>
      <c r="N16" s="86">
        <f>M16/L16</f>
        <v>9.3939393939394631E-3</v>
      </c>
      <c r="O16" s="87"/>
      <c r="P16" s="87"/>
    </row>
    <row r="17" spans="2:16" ht="16.5" customHeight="1" x14ac:dyDescent="0.2">
      <c r="B17" s="55" t="s">
        <v>100</v>
      </c>
      <c r="C17" s="28">
        <v>79</v>
      </c>
      <c r="D17" s="35">
        <v>9.09</v>
      </c>
      <c r="E17" s="29">
        <f t="shared" si="0"/>
        <v>90.91</v>
      </c>
      <c r="F17" s="35">
        <v>8.19</v>
      </c>
      <c r="G17" s="29">
        <f t="shared" si="1"/>
        <v>91.81</v>
      </c>
      <c r="H17" s="35"/>
      <c r="I17" s="29"/>
      <c r="J17" s="35"/>
      <c r="K17" s="29" t="e">
        <f t="shared" si="2"/>
        <v>#N/A</v>
      </c>
      <c r="L17" s="11">
        <f t="shared" si="3"/>
        <v>39</v>
      </c>
      <c r="M17" s="29">
        <f t="shared" si="4"/>
        <v>0.48999999999999488</v>
      </c>
      <c r="N17" s="86">
        <f t="shared" ref="N17:N27" si="5">M17/L17</f>
        <v>1.2564102564102434E-2</v>
      </c>
      <c r="O17" s="87"/>
      <c r="P17" s="87"/>
    </row>
    <row r="18" spans="2:16" ht="16.5" customHeight="1" x14ac:dyDescent="0.2">
      <c r="B18" s="55" t="s">
        <v>101</v>
      </c>
      <c r="C18" s="28">
        <v>88</v>
      </c>
      <c r="D18" s="35">
        <v>9.39</v>
      </c>
      <c r="E18" s="29">
        <f t="shared" si="0"/>
        <v>90.61</v>
      </c>
      <c r="F18" s="35">
        <v>8.19</v>
      </c>
      <c r="G18" s="29">
        <f t="shared" si="1"/>
        <v>91.81</v>
      </c>
      <c r="H18" s="35"/>
      <c r="I18" s="29"/>
      <c r="J18" s="35"/>
      <c r="K18" s="29" t="e">
        <f t="shared" si="2"/>
        <v>#N/A</v>
      </c>
      <c r="L18" s="11">
        <f t="shared" si="3"/>
        <v>9</v>
      </c>
      <c r="M18" s="29">
        <f t="shared" si="4"/>
        <v>0</v>
      </c>
      <c r="N18" s="86">
        <f t="shared" si="5"/>
        <v>0</v>
      </c>
      <c r="O18" s="87"/>
      <c r="P18" s="87"/>
    </row>
    <row r="19" spans="2:16" ht="16.5" customHeight="1" x14ac:dyDescent="0.2">
      <c r="B19" s="55"/>
      <c r="C19" s="28">
        <v>107</v>
      </c>
      <c r="D19" s="35">
        <v>9.3000000000000007</v>
      </c>
      <c r="E19" s="29">
        <f t="shared" si="0"/>
        <v>90.7</v>
      </c>
      <c r="F19" s="35">
        <v>8.19</v>
      </c>
      <c r="G19" s="29">
        <f t="shared" si="1"/>
        <v>91.81</v>
      </c>
      <c r="H19" s="35"/>
      <c r="I19" s="29"/>
      <c r="J19" s="35"/>
      <c r="K19" s="29" t="e">
        <f t="shared" si="2"/>
        <v>#N/A</v>
      </c>
      <c r="L19" s="11">
        <f t="shared" si="3"/>
        <v>19</v>
      </c>
      <c r="M19" s="29">
        <f t="shared" si="4"/>
        <v>0</v>
      </c>
      <c r="N19" s="86">
        <f t="shared" si="5"/>
        <v>0</v>
      </c>
      <c r="O19" s="87"/>
      <c r="P19" s="87"/>
    </row>
    <row r="20" spans="2:16" ht="16.5" customHeight="1" x14ac:dyDescent="0.2">
      <c r="B20" s="55" t="s">
        <v>87</v>
      </c>
      <c r="C20" s="28">
        <v>132</v>
      </c>
      <c r="D20" s="35">
        <v>8.76</v>
      </c>
      <c r="E20" s="29">
        <f t="shared" si="0"/>
        <v>91.24</v>
      </c>
      <c r="F20" s="35">
        <v>8.19</v>
      </c>
      <c r="G20" s="29">
        <f t="shared" si="1"/>
        <v>91.81</v>
      </c>
      <c r="H20" s="35"/>
      <c r="I20" s="29"/>
      <c r="J20" s="35"/>
      <c r="K20" s="29" t="e">
        <f t="shared" si="2"/>
        <v>#N/A</v>
      </c>
      <c r="L20" s="11">
        <f t="shared" si="3"/>
        <v>25</v>
      </c>
      <c r="M20" s="29">
        <f t="shared" si="4"/>
        <v>0</v>
      </c>
      <c r="N20" s="86">
        <f t="shared" si="5"/>
        <v>0</v>
      </c>
      <c r="O20" s="87"/>
      <c r="P20" s="87"/>
    </row>
    <row r="21" spans="2:16" ht="16.5" customHeight="1" x14ac:dyDescent="0.2">
      <c r="B21" s="55" t="s">
        <v>100</v>
      </c>
      <c r="C21" s="28">
        <v>170</v>
      </c>
      <c r="D21" s="35">
        <v>9.5</v>
      </c>
      <c r="E21" s="29">
        <f t="shared" si="0"/>
        <v>90.5</v>
      </c>
      <c r="F21" s="35">
        <v>8.6</v>
      </c>
      <c r="G21" s="29">
        <f t="shared" si="1"/>
        <v>91.4</v>
      </c>
      <c r="H21" s="35"/>
      <c r="I21" s="29"/>
      <c r="J21" s="35"/>
      <c r="K21" s="29" t="e">
        <f t="shared" si="2"/>
        <v>#N/A</v>
      </c>
      <c r="L21" s="11">
        <f t="shared" si="3"/>
        <v>38</v>
      </c>
      <c r="M21" s="29">
        <f t="shared" si="4"/>
        <v>0.40999999999999659</v>
      </c>
      <c r="N21" s="86">
        <f t="shared" si="5"/>
        <v>1.0789473684210437E-2</v>
      </c>
      <c r="O21" s="87"/>
      <c r="P21" s="87"/>
    </row>
    <row r="22" spans="2:16" ht="16.5" customHeight="1" x14ac:dyDescent="0.2">
      <c r="B22" s="55" t="s">
        <v>101</v>
      </c>
      <c r="C22" s="28">
        <v>177</v>
      </c>
      <c r="D22" s="35">
        <v>9.75</v>
      </c>
      <c r="E22" s="29">
        <f t="shared" si="0"/>
        <v>90.25</v>
      </c>
      <c r="F22" s="35">
        <v>8.6</v>
      </c>
      <c r="G22" s="29">
        <f t="shared" si="1"/>
        <v>91.4</v>
      </c>
      <c r="H22" s="35"/>
      <c r="I22" s="29"/>
      <c r="J22" s="35"/>
      <c r="K22" s="29" t="e">
        <f t="shared" si="2"/>
        <v>#N/A</v>
      </c>
      <c r="L22" s="11">
        <f t="shared" si="3"/>
        <v>7</v>
      </c>
      <c r="M22" s="29">
        <f t="shared" si="4"/>
        <v>0</v>
      </c>
      <c r="N22" s="86">
        <f t="shared" si="5"/>
        <v>0</v>
      </c>
      <c r="O22" s="87"/>
      <c r="P22" s="87"/>
    </row>
    <row r="23" spans="2:16" ht="16.5" customHeight="1" x14ac:dyDescent="0.2">
      <c r="B23" s="55" t="s">
        <v>87</v>
      </c>
      <c r="C23" s="28">
        <v>189</v>
      </c>
      <c r="D23" s="35">
        <v>9.1</v>
      </c>
      <c r="E23" s="29">
        <f t="shared" si="0"/>
        <v>90.9</v>
      </c>
      <c r="F23" s="35">
        <v>8.6</v>
      </c>
      <c r="G23" s="29">
        <f t="shared" si="1"/>
        <v>91.4</v>
      </c>
      <c r="H23" s="35"/>
      <c r="I23" s="29"/>
      <c r="J23" s="35"/>
      <c r="K23" s="29" t="e">
        <f t="shared" si="2"/>
        <v>#N/A</v>
      </c>
      <c r="L23" s="11">
        <f>C23-C22</f>
        <v>12</v>
      </c>
      <c r="M23" s="29">
        <f t="shared" si="4"/>
        <v>0</v>
      </c>
      <c r="N23" s="86">
        <f t="shared" si="5"/>
        <v>0</v>
      </c>
      <c r="O23" s="87"/>
      <c r="P23" s="87"/>
    </row>
    <row r="24" spans="2:16" ht="16.5" customHeight="1" x14ac:dyDescent="0.2">
      <c r="B24" s="55" t="s">
        <v>99</v>
      </c>
      <c r="C24" s="28"/>
      <c r="D24" s="35"/>
      <c r="E24" s="29">
        <f t="shared" si="0"/>
        <v>100</v>
      </c>
      <c r="F24" s="35"/>
      <c r="G24" s="29">
        <f t="shared" si="1"/>
        <v>100</v>
      </c>
      <c r="H24" s="35"/>
      <c r="I24" s="29"/>
      <c r="J24" s="35"/>
      <c r="K24" s="29" t="e">
        <f t="shared" si="2"/>
        <v>#N/A</v>
      </c>
      <c r="L24" s="11">
        <f t="shared" si="3"/>
        <v>-189</v>
      </c>
      <c r="M24" s="29">
        <f t="shared" si="4"/>
        <v>-8.5999999999999943</v>
      </c>
      <c r="N24" s="86">
        <f t="shared" si="5"/>
        <v>4.5502645502645475E-2</v>
      </c>
      <c r="O24" s="87"/>
      <c r="P24" s="87"/>
    </row>
    <row r="25" spans="2:16" ht="16.5" customHeight="1" x14ac:dyDescent="0.2">
      <c r="B25" s="55"/>
      <c r="C25" s="28"/>
      <c r="D25" s="35"/>
      <c r="E25" s="29">
        <f t="shared" si="0"/>
        <v>100</v>
      </c>
      <c r="F25" s="35"/>
      <c r="G25" s="29">
        <f t="shared" si="1"/>
        <v>100</v>
      </c>
      <c r="H25" s="35"/>
      <c r="I25" s="29"/>
      <c r="J25" s="35"/>
      <c r="K25" s="29" t="e">
        <f t="shared" si="2"/>
        <v>#N/A</v>
      </c>
      <c r="L25" s="11">
        <f t="shared" si="3"/>
        <v>0</v>
      </c>
      <c r="M25" s="29">
        <f t="shared" si="4"/>
        <v>0</v>
      </c>
      <c r="N25" s="86" t="e">
        <f t="shared" si="5"/>
        <v>#DIV/0!</v>
      </c>
      <c r="O25" s="87"/>
      <c r="P25" s="87"/>
    </row>
    <row r="26" spans="2:16" ht="16.5" customHeight="1" x14ac:dyDescent="0.2">
      <c r="B26" s="55"/>
      <c r="C26" s="28"/>
      <c r="D26" s="35"/>
      <c r="E26" s="29">
        <f t="shared" si="0"/>
        <v>100</v>
      </c>
      <c r="F26" s="35"/>
      <c r="G26" s="29">
        <f t="shared" si="1"/>
        <v>100</v>
      </c>
      <c r="H26" s="35"/>
      <c r="I26" s="29"/>
      <c r="J26" s="35"/>
      <c r="K26" s="29" t="e">
        <f t="shared" si="2"/>
        <v>#N/A</v>
      </c>
      <c r="L26" s="11">
        <f t="shared" si="3"/>
        <v>0</v>
      </c>
      <c r="M26" s="29">
        <f t="shared" si="4"/>
        <v>0</v>
      </c>
      <c r="N26" s="86" t="e">
        <f t="shared" si="5"/>
        <v>#DIV/0!</v>
      </c>
      <c r="O26" s="87"/>
      <c r="P26" s="87"/>
    </row>
    <row r="27" spans="2:16" ht="16.5" customHeight="1" x14ac:dyDescent="0.2">
      <c r="B27" s="55"/>
      <c r="C27" s="28"/>
      <c r="D27" s="35"/>
      <c r="E27" s="29">
        <f t="shared" si="0"/>
        <v>100</v>
      </c>
      <c r="F27" s="35"/>
      <c r="G27" s="29">
        <f t="shared" si="1"/>
        <v>100</v>
      </c>
      <c r="H27" s="35"/>
      <c r="I27" s="29"/>
      <c r="J27" s="35"/>
      <c r="K27" s="29" t="e">
        <f t="shared" si="2"/>
        <v>#N/A</v>
      </c>
      <c r="L27" s="11">
        <f t="shared" si="3"/>
        <v>0</v>
      </c>
      <c r="M27" s="29">
        <f t="shared" si="4"/>
        <v>0</v>
      </c>
      <c r="N27" s="86" t="e">
        <f t="shared" si="5"/>
        <v>#DIV/0!</v>
      </c>
      <c r="O27" s="87"/>
      <c r="P27" s="87"/>
    </row>
    <row r="28" spans="2:16" ht="16.5" customHeight="1" x14ac:dyDescent="0.2">
      <c r="B28" s="55"/>
      <c r="C28" s="28"/>
      <c r="D28" s="35"/>
      <c r="E28" s="29">
        <f t="shared" si="0"/>
        <v>100</v>
      </c>
      <c r="F28" s="35"/>
      <c r="G28" s="29">
        <f t="shared" si="1"/>
        <v>100</v>
      </c>
      <c r="H28" s="35"/>
      <c r="I28" s="29"/>
      <c r="J28" s="35"/>
      <c r="K28" s="29" t="e">
        <f t="shared" si="2"/>
        <v>#N/A</v>
      </c>
      <c r="L28" s="11">
        <f t="shared" si="3"/>
        <v>0</v>
      </c>
      <c r="M28" s="29">
        <f t="shared" si="4"/>
        <v>0</v>
      </c>
      <c r="N28" s="86" t="e">
        <f t="shared" ref="N28:N29" si="6">M28/L28</f>
        <v>#DIV/0!</v>
      </c>
      <c r="O28" s="87"/>
      <c r="P28" s="87"/>
    </row>
    <row r="29" spans="2:16" ht="16.5" customHeight="1" x14ac:dyDescent="0.2">
      <c r="B29" s="55"/>
      <c r="C29" s="28"/>
      <c r="D29" s="35"/>
      <c r="E29" s="29">
        <f t="shared" si="0"/>
        <v>100</v>
      </c>
      <c r="F29" s="35"/>
      <c r="G29" s="29">
        <f t="shared" si="1"/>
        <v>100</v>
      </c>
      <c r="H29" s="35"/>
      <c r="I29" s="29"/>
      <c r="J29" s="35"/>
      <c r="K29" s="29" t="e">
        <f t="shared" si="2"/>
        <v>#N/A</v>
      </c>
      <c r="L29" s="11">
        <f t="shared" si="3"/>
        <v>0</v>
      </c>
      <c r="M29" s="29">
        <f t="shared" si="4"/>
        <v>0</v>
      </c>
      <c r="N29" s="86" t="e">
        <f t="shared" si="6"/>
        <v>#DIV/0!</v>
      </c>
      <c r="O29" s="87"/>
      <c r="P29" s="87"/>
    </row>
    <row r="30" spans="2:16" ht="16.5" customHeight="1" x14ac:dyDescent="0.2">
      <c r="B30" s="55"/>
      <c r="C30" s="28"/>
      <c r="D30" s="35"/>
      <c r="E30" s="29">
        <f t="shared" ref="E30" si="7">+$D$8-D30</f>
        <v>100</v>
      </c>
      <c r="F30" s="35"/>
      <c r="G30" s="29">
        <f t="shared" ref="G30" si="8">+$D$8-F30</f>
        <v>100</v>
      </c>
      <c r="H30" s="35"/>
      <c r="I30" s="29"/>
      <c r="J30" s="35"/>
      <c r="K30" s="29" t="e">
        <f t="shared" si="2"/>
        <v>#N/A</v>
      </c>
      <c r="L30" s="11">
        <f t="shared" ref="L30" si="9">C30-C29</f>
        <v>0</v>
      </c>
      <c r="M30" s="29">
        <f t="shared" ref="M30" si="10">-(G30-G29)</f>
        <v>0</v>
      </c>
      <c r="N30" s="86" t="e">
        <f t="shared" ref="N30" si="11">M30/L30</f>
        <v>#DIV/0!</v>
      </c>
      <c r="O30" s="87"/>
      <c r="P30" s="87"/>
    </row>
    <row r="31" spans="2:16" ht="16.5" customHeight="1" x14ac:dyDescent="0.2">
      <c r="B31" s="55"/>
      <c r="C31" s="28"/>
      <c r="D31" s="35"/>
      <c r="E31" s="29"/>
      <c r="F31" s="35"/>
      <c r="G31" s="29"/>
      <c r="H31" s="35"/>
      <c r="I31" s="29"/>
      <c r="J31" s="35"/>
      <c r="K31" s="29"/>
      <c r="L31" s="11"/>
      <c r="M31" s="29"/>
      <c r="N31" s="86"/>
      <c r="O31" s="87"/>
      <c r="P31" s="87"/>
    </row>
    <row r="32" spans="2:16" ht="16.5" customHeight="1" x14ac:dyDescent="0.2">
      <c r="B32" s="55"/>
      <c r="C32" s="28"/>
      <c r="D32" s="35"/>
      <c r="E32" s="29"/>
      <c r="F32" s="35"/>
      <c r="G32" s="29"/>
      <c r="H32" s="35"/>
      <c r="I32" s="29"/>
      <c r="J32" s="35"/>
      <c r="K32" s="29"/>
      <c r="L32" s="11"/>
      <c r="M32" s="29"/>
      <c r="N32" s="86"/>
      <c r="O32" s="87"/>
      <c r="P32" s="87"/>
    </row>
    <row r="33" spans="2:16" ht="16.5" customHeight="1" x14ac:dyDescent="0.2">
      <c r="B33" s="55"/>
      <c r="C33" s="28"/>
      <c r="D33" s="35"/>
      <c r="E33" s="29"/>
      <c r="F33" s="35"/>
      <c r="G33" s="29"/>
      <c r="H33" s="35"/>
      <c r="I33" s="29"/>
      <c r="J33" s="35"/>
      <c r="K33" s="29"/>
      <c r="L33" s="11"/>
      <c r="M33" s="29"/>
      <c r="N33" s="86"/>
      <c r="O33" s="87"/>
      <c r="P33" s="87"/>
    </row>
    <row r="34" spans="2:16" ht="16.5" customHeight="1" x14ac:dyDescent="0.2">
      <c r="B34" s="55"/>
      <c r="C34" s="28"/>
      <c r="D34" s="35"/>
      <c r="E34" s="29"/>
      <c r="F34" s="35"/>
      <c r="G34" s="29"/>
      <c r="H34" s="35"/>
      <c r="I34" s="29"/>
      <c r="J34" s="35"/>
      <c r="K34" s="29"/>
      <c r="L34" s="11"/>
      <c r="M34" s="29"/>
      <c r="N34" s="86"/>
      <c r="O34" s="87"/>
      <c r="P34" s="87"/>
    </row>
    <row r="35" spans="2:16" ht="16.5" customHeight="1" x14ac:dyDescent="0.2">
      <c r="B35" s="55"/>
      <c r="C35" s="28"/>
      <c r="D35" s="35"/>
      <c r="E35" s="29"/>
      <c r="F35" s="35"/>
      <c r="G35" s="29"/>
      <c r="H35" s="35"/>
      <c r="I35" s="29"/>
      <c r="J35" s="35"/>
      <c r="K35" s="29"/>
      <c r="L35" s="11"/>
      <c r="M35" s="29"/>
      <c r="N35" s="86"/>
      <c r="O35" s="87"/>
      <c r="P35" s="87"/>
    </row>
    <row r="36" spans="2:16" ht="16.5" customHeight="1" x14ac:dyDescent="0.2">
      <c r="B36" s="55"/>
      <c r="C36" s="28"/>
      <c r="D36" s="35"/>
      <c r="E36" s="29"/>
      <c r="F36" s="35"/>
      <c r="G36" s="29"/>
      <c r="H36" s="35"/>
      <c r="I36" s="29"/>
      <c r="J36" s="35"/>
      <c r="K36" s="29"/>
      <c r="L36" s="11"/>
      <c r="M36" s="29"/>
      <c r="N36" s="86"/>
      <c r="O36" s="87"/>
      <c r="P36" s="87"/>
    </row>
    <row r="37" spans="2:16" ht="16.5" customHeight="1" x14ac:dyDescent="0.2">
      <c r="B37" s="88"/>
      <c r="C37" s="89"/>
      <c r="D37" s="90"/>
      <c r="E37" s="29"/>
      <c r="F37" s="35"/>
      <c r="G37" s="29"/>
      <c r="H37" s="35"/>
      <c r="I37" s="29"/>
      <c r="J37" s="35"/>
      <c r="K37" s="29"/>
      <c r="L37" s="11"/>
      <c r="M37" s="29"/>
      <c r="N37" s="86"/>
      <c r="O37" s="87"/>
      <c r="P37" s="87"/>
    </row>
    <row r="38" spans="2:16" ht="16.5" customHeight="1" x14ac:dyDescent="0.2">
      <c r="B38" s="55"/>
      <c r="C38" s="28"/>
      <c r="D38" s="35"/>
      <c r="E38" s="29"/>
      <c r="F38" s="35"/>
      <c r="G38" s="29"/>
      <c r="H38" s="35"/>
      <c r="I38" s="29"/>
      <c r="J38" s="35"/>
      <c r="K38" s="29"/>
      <c r="L38" s="11"/>
      <c r="M38" s="29"/>
      <c r="N38" s="86"/>
      <c r="O38" s="87"/>
      <c r="P38" s="87"/>
    </row>
    <row r="39" spans="2:16" ht="16.5" customHeight="1" x14ac:dyDescent="0.2">
      <c r="B39" s="55"/>
      <c r="C39" s="28"/>
      <c r="D39" s="35"/>
      <c r="E39" s="29"/>
      <c r="F39" s="35"/>
      <c r="G39" s="29"/>
      <c r="H39" s="35"/>
      <c r="I39" s="29"/>
      <c r="J39" s="35"/>
      <c r="K39" s="29"/>
      <c r="L39" s="11"/>
      <c r="M39" s="29"/>
      <c r="N39" s="86"/>
      <c r="O39" s="87"/>
      <c r="P39" s="87"/>
    </row>
    <row r="40" spans="2:16" ht="16.5" customHeight="1" x14ac:dyDescent="0.2">
      <c r="B40" s="55"/>
      <c r="C40" s="28"/>
      <c r="D40" s="35"/>
      <c r="E40" s="29"/>
      <c r="F40" s="35"/>
      <c r="G40" s="29"/>
      <c r="H40" s="35"/>
      <c r="I40" s="29"/>
      <c r="J40" s="35"/>
      <c r="K40" s="29"/>
      <c r="L40" s="11"/>
      <c r="M40" s="29"/>
      <c r="N40" s="86"/>
      <c r="O40" s="87"/>
      <c r="P40" s="87"/>
    </row>
    <row r="41" spans="2:16" ht="16.5" customHeight="1" x14ac:dyDescent="0.2">
      <c r="B41" s="55"/>
      <c r="C41" s="28"/>
      <c r="D41" s="35"/>
      <c r="E41" s="29"/>
      <c r="F41" s="35"/>
      <c r="G41" s="29"/>
      <c r="H41" s="35"/>
      <c r="I41" s="29"/>
      <c r="J41" s="35"/>
      <c r="K41" s="29"/>
      <c r="L41" s="11"/>
      <c r="M41" s="29"/>
      <c r="N41" s="86"/>
      <c r="O41" s="87"/>
      <c r="P41" s="87"/>
    </row>
    <row r="42" spans="2:16" ht="16.5" customHeight="1" x14ac:dyDescent="0.2">
      <c r="B42" s="91"/>
      <c r="C42" s="28"/>
      <c r="D42" s="35"/>
      <c r="E42" s="29"/>
      <c r="F42" s="35"/>
      <c r="G42" s="29"/>
      <c r="H42" s="35"/>
      <c r="I42" s="29"/>
      <c r="J42" s="35"/>
      <c r="K42" s="29"/>
      <c r="L42" s="11"/>
      <c r="M42" s="29"/>
      <c r="N42" s="86"/>
      <c r="O42" s="87"/>
      <c r="P42" s="87"/>
    </row>
    <row r="43" spans="2:16" ht="16.5" customHeight="1" x14ac:dyDescent="0.2">
      <c r="B43" s="91"/>
      <c r="C43" s="28"/>
      <c r="D43" s="35"/>
      <c r="E43" s="29"/>
      <c r="F43" s="35"/>
      <c r="G43" s="29"/>
      <c r="H43" s="35"/>
      <c r="I43" s="29"/>
      <c r="J43" s="35"/>
      <c r="K43" s="29"/>
      <c r="L43" s="11"/>
      <c r="M43" s="29"/>
      <c r="N43" s="86"/>
      <c r="O43" s="87"/>
      <c r="P43" s="87"/>
    </row>
    <row r="44" spans="2:16" ht="16.5" customHeight="1" x14ac:dyDescent="0.2">
      <c r="B44" s="91"/>
      <c r="C44" s="28"/>
      <c r="D44" s="35"/>
      <c r="E44" s="29"/>
      <c r="F44" s="35"/>
      <c r="G44" s="29"/>
      <c r="H44" s="35"/>
      <c r="I44" s="29"/>
      <c r="J44" s="35"/>
      <c r="K44" s="29"/>
      <c r="L44" s="11"/>
      <c r="M44" s="29"/>
      <c r="N44" s="86"/>
      <c r="O44" s="87"/>
      <c r="P44" s="87"/>
    </row>
    <row r="45" spans="2:16" ht="16.5" customHeight="1" x14ac:dyDescent="0.2">
      <c r="B45" s="91"/>
      <c r="C45" s="28"/>
      <c r="D45" s="35"/>
      <c r="E45" s="29"/>
      <c r="F45" s="35"/>
      <c r="G45" s="29"/>
      <c r="H45" s="35"/>
      <c r="I45" s="29"/>
      <c r="J45" s="35"/>
      <c r="K45" s="29"/>
      <c r="L45" s="29"/>
      <c r="M45" s="29"/>
      <c r="N45" s="92"/>
      <c r="O45" s="93"/>
      <c r="P45" s="93"/>
    </row>
    <row r="46" spans="2:16" ht="16.5" customHeight="1" x14ac:dyDescent="0.2">
      <c r="B46" s="91"/>
      <c r="C46" s="28"/>
      <c r="D46" s="35"/>
      <c r="E46" s="29"/>
      <c r="F46" s="94"/>
      <c r="G46" s="29"/>
      <c r="H46" s="94"/>
      <c r="I46" s="29"/>
      <c r="J46" s="94"/>
      <c r="K46" s="29"/>
      <c r="L46" s="95"/>
      <c r="M46" s="95"/>
      <c r="N46" s="95"/>
    </row>
    <row r="47" spans="2:16" ht="16.5" customHeight="1" x14ac:dyDescent="0.2">
      <c r="B47" s="91"/>
      <c r="C47" s="28"/>
      <c r="D47" s="35"/>
      <c r="E47" s="29"/>
      <c r="F47" s="94"/>
      <c r="G47" s="29"/>
      <c r="H47" s="94"/>
      <c r="I47" s="29"/>
      <c r="J47" s="94"/>
      <c r="K47" s="29"/>
      <c r="L47" s="95"/>
      <c r="M47" s="95"/>
      <c r="N47" s="95"/>
    </row>
    <row r="48" spans="2:16" ht="16.5" customHeight="1" x14ac:dyDescent="0.2">
      <c r="B48" s="91"/>
      <c r="C48" s="28"/>
      <c r="D48" s="35"/>
      <c r="E48" s="29"/>
      <c r="F48" s="94"/>
      <c r="G48" s="29"/>
      <c r="H48" s="94"/>
      <c r="I48" s="29"/>
      <c r="J48" s="94"/>
      <c r="K48" s="29"/>
      <c r="L48" s="95"/>
      <c r="M48" s="95"/>
      <c r="N48" s="95"/>
    </row>
    <row r="49" spans="2:14" ht="16.5" customHeight="1" x14ac:dyDescent="0.2">
      <c r="B49" s="91"/>
      <c r="C49" s="28"/>
      <c r="D49" s="35"/>
      <c r="E49" s="29"/>
      <c r="F49" s="94"/>
      <c r="G49" s="29"/>
      <c r="H49" s="94"/>
      <c r="I49" s="29"/>
      <c r="J49" s="94"/>
      <c r="K49" s="29"/>
      <c r="L49" s="95"/>
      <c r="M49" s="95"/>
      <c r="N49" s="95"/>
    </row>
    <row r="50" spans="2:14" ht="16.5" customHeight="1" x14ac:dyDescent="0.2">
      <c r="B50" s="91"/>
      <c r="C50" s="28"/>
      <c r="D50" s="35"/>
      <c r="E50" s="29"/>
      <c r="F50" s="94"/>
      <c r="G50" s="29"/>
      <c r="H50" s="94"/>
      <c r="I50" s="29"/>
      <c r="J50" s="94"/>
      <c r="K50" s="29"/>
      <c r="L50" s="95"/>
      <c r="M50" s="95"/>
      <c r="N50" s="95"/>
    </row>
    <row r="51" spans="2:14" ht="16.5" customHeight="1" x14ac:dyDescent="0.2">
      <c r="B51" s="91"/>
      <c r="C51" s="28"/>
      <c r="D51" s="35"/>
      <c r="E51" s="29"/>
      <c r="F51" s="94"/>
      <c r="G51" s="29"/>
      <c r="H51" s="94"/>
      <c r="I51" s="29"/>
      <c r="J51" s="94"/>
      <c r="K51" s="29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Morphology Summary</vt:lpstr>
      <vt:lpstr>Cross-section</vt:lpstr>
      <vt:lpstr>Longitudinal Profile</vt:lpstr>
      <vt:lpstr>'Morphology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Greg Jennings</cp:lastModifiedBy>
  <cp:lastPrinted>2013-04-12T11:06:55Z</cp:lastPrinted>
  <dcterms:created xsi:type="dcterms:W3CDTF">1999-03-02T01:20:07Z</dcterms:created>
  <dcterms:modified xsi:type="dcterms:W3CDTF">2019-05-26T20:09:52Z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