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39" i="81" l="1"/>
  <c r="F30" i="81"/>
  <c r="G30" i="81"/>
  <c r="H30" i="81"/>
  <c r="F31" i="81"/>
  <c r="G31" i="81"/>
  <c r="H31" i="81"/>
  <c r="F32" i="81"/>
  <c r="G32" i="81"/>
  <c r="H32" i="81"/>
  <c r="F33" i="81"/>
  <c r="G33" i="81"/>
  <c r="H33" i="81" s="1"/>
  <c r="F34" i="81"/>
  <c r="G34" i="81"/>
  <c r="H34" i="81" s="1"/>
  <c r="F35" i="81"/>
  <c r="G35" i="81"/>
  <c r="H35" i="81"/>
  <c r="F36" i="81"/>
  <c r="G36" i="81"/>
  <c r="H36" i="81" s="1"/>
  <c r="F37" i="81"/>
  <c r="G37" i="81"/>
  <c r="H37" i="81" s="1"/>
  <c r="F38" i="81"/>
  <c r="G38" i="81"/>
  <c r="H38" i="81"/>
  <c r="F39" i="81"/>
  <c r="G39" i="81"/>
  <c r="H39" i="81"/>
  <c r="F40" i="81"/>
  <c r="G40" i="81"/>
  <c r="H40" i="81"/>
  <c r="F41" i="81"/>
  <c r="G41" i="81"/>
  <c r="H41" i="81"/>
  <c r="K29" i="81" l="1"/>
  <c r="K31" i="81"/>
  <c r="G15" i="81" s="1"/>
  <c r="C23" i="73" s="1"/>
  <c r="K40" i="81"/>
  <c r="G12" i="81"/>
  <c r="G14" i="81"/>
  <c r="C22" i="73" s="1"/>
  <c r="L30" i="70"/>
  <c r="L23" i="70"/>
  <c r="M30" i="70"/>
  <c r="N30" i="70"/>
  <c r="U8" i="70"/>
  <c r="D41" i="73"/>
  <c r="C20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 s="1"/>
  <c r="D23" i="73"/>
  <c r="E23" i="73"/>
  <c r="C44" i="73"/>
  <c r="D36" i="73"/>
  <c r="E18" i="73"/>
  <c r="D18" i="73"/>
  <c r="D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D38" i="73"/>
  <c r="E44" i="73"/>
  <c r="D42" i="73"/>
  <c r="C34" i="73"/>
  <c r="D34" i="73"/>
  <c r="C42" i="73"/>
  <c r="E34" i="73"/>
  <c r="E46" i="73"/>
  <c r="E38" i="73"/>
  <c r="D44" i="73"/>
  <c r="D46" i="73"/>
  <c r="C38" i="73"/>
  <c r="E42" i="73"/>
  <c r="E36" i="73"/>
  <c r="C46" i="73"/>
  <c r="G7" i="81"/>
  <c r="C15" i="73" s="1"/>
  <c r="G42" i="81"/>
  <c r="H42" i="81" s="1"/>
  <c r="F42" i="81"/>
  <c r="K34" i="81" l="1"/>
  <c r="K30" i="81" l="1"/>
  <c r="G10" i="81"/>
  <c r="C18" i="73" s="1"/>
  <c r="K37" i="81"/>
  <c r="G13" i="81" s="1"/>
  <c r="C21" i="73" s="1"/>
  <c r="K32" i="81" l="1"/>
  <c r="G6" i="81"/>
  <c r="C14" i="73" s="1"/>
  <c r="K35" i="81" l="1"/>
  <c r="G11" i="81" s="1"/>
  <c r="C19" i="73" s="1"/>
  <c r="G8" i="81"/>
  <c r="C16" i="73" s="1"/>
  <c r="K42" i="81"/>
  <c r="K43" i="81" s="1"/>
  <c r="K33" i="81"/>
  <c r="G9" i="81" s="1"/>
  <c r="C17" i="73" s="1"/>
  <c r="K44" i="81" l="1"/>
  <c r="K46" i="81"/>
  <c r="K48" i="81" l="1"/>
  <c r="G22" i="81" s="1"/>
  <c r="C29" i="73" s="1"/>
  <c r="K49" i="81"/>
  <c r="G23" i="81" s="1"/>
  <c r="C30" i="73" s="1"/>
  <c r="G20" i="81"/>
  <c r="C27" i="73" s="1"/>
  <c r="G18" i="81"/>
  <c r="C25" i="73" s="1"/>
  <c r="K45" i="81"/>
  <c r="G19" i="81" s="1"/>
  <c r="C26" i="73" s="1"/>
  <c r="K47" i="81" l="1"/>
  <c r="G21" i="81" s="1"/>
  <c r="C28" i="73" s="1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<sst xmlns="http://schemas.openxmlformats.org/spreadsheetml/2006/main" count="170" uniqueCount="109">
  <si>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</si>
  <si>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</si>
  <si>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</si>
  <si>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</si>
  <si>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</si>
  <si>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</si>
  <si>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</si>
  <si>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</si>
  <si>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</si>
  <si>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</si>
  <si>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</si>
  <si>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</si>
  <si>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</si>
  <si>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</si>
  <si>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</si>
  <si>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</si>
  <si>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</si>
  <si>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</si>
  <si>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</si>
  <si>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</si>
  <si>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</si>
  <si>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</si>
  <si>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</si>
  <si>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</si>
  <si>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</si>
  <si>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</si>
  <si>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</si>
  <si>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</si>
  <si>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</si>
  <si>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</si>
  <si>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</si>
  <si>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</si>
  <si>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</si>
  <si>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</si>
  <si>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</si>
  <si>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</si>
  <si>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</si>
  <si>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</si>
  <si>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</si>
  <si>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</si>
  <si>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</si>
  <si>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</si>
  <si>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</si>
  <si>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</si>
  <si>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</si>
  <si>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</si>
  <si>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</si>
  <si>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</si>
  <si>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</si>
  <si>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</si>
  <si>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</si>
  <si>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</si>
  <si>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</si>
  <si>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</si>
  <si>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</si>
  <si>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</si>
  <si>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</si>
  <si>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</si>
  <si>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</si>
  <si>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</si>
  <si>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</si>
  <si>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</si>
  <si>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</si>
  <si>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</si>
  <si>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</si>
  <si>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</si>
  <si>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</si>
  <si>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</si>
  <si>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</si>
  <si>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</si>
  <si>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</si>
  <si>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</si>
  <si>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</si>
  <si>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</si>
  <si>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</si>
  <si>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</si>
  <si>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</si>
  <si>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</si>
  <si>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</si>
  <si>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</si>
  <si>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</si>
  <si>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</si>
  <si>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</si>
  <si>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</si>
  <si>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</si>
  <si>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</si>
  <si>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</si>
  <si>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</si>
  <si>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</si>
  <si>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</si>
  <si>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</si>
  <si>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</si>
  <si>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</si>
  <si>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</si>
  <si>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</si>
  <si>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</si>
  <si>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</si>
  <si>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</si>
  <si>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</si>
  <si>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</si>
  <si>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</si>
  <si>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</si>
  <si>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</si>
  <si>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</si>
  <si>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UT Gough Creek, Francis Marion NF</t>
  </si>
  <si>
    <t>UT Gough Creek</t>
  </si>
  <si>
    <t>sand</t>
  </si>
  <si>
    <t>33.162626, -79.831400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</si>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</sst>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13.220000000000002</c:v>
                </c:pt>
                <c:pt idx="2">
                  <c:v>15.32</c:v>
                </c:pt>
                <c:pt idx="3">
                  <c:v>17.939999999999998</c:v>
                </c:pt>
                <c:pt idx="4">
                  <c:v>19.630000000000003</c:v>
                </c:pt>
                <c:pt idx="5">
                  <c:v>21.29</c:v>
                </c:pt>
                <c:pt idx="6">
                  <c:v>24.53</c:v>
                </c:pt>
                <c:pt idx="7">
                  <c:v>26.71</c:v>
                </c:pt>
                <c:pt idx="8">
                  <c:v>27.49</c:v>
                </c:pt>
                <c:pt idx="9">
                  <c:v>27.58</c:v>
                </c:pt>
                <c:pt idx="10">
                  <c:v>28.300000000000004</c:v>
                </c:pt>
                <c:pt idx="11">
                  <c:v>29.770000000000003</c:v>
                </c:pt>
                <c:pt idx="12">
                  <c:v>36.550000000000004</c:v>
                </c:pt>
                <c:pt idx="13">
                  <c:v>68.11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99.62</c:v>
                </c:pt>
                <c:pt idx="1">
                  <c:v>99.61</c:v>
                </c:pt>
                <c:pt idx="2">
                  <c:v>99.07</c:v>
                </c:pt>
                <c:pt idx="3">
                  <c:v>99.02</c:v>
                </c:pt>
                <c:pt idx="4">
                  <c:v>98.55</c:v>
                </c:pt>
                <c:pt idx="5">
                  <c:v>98.2</c:v>
                </c:pt>
                <c:pt idx="6">
                  <c:v>98.37</c:v>
                </c:pt>
                <c:pt idx="7">
                  <c:v>98.83</c:v>
                </c:pt>
                <c:pt idx="8">
                  <c:v>99.02</c:v>
                </c:pt>
                <c:pt idx="9">
                  <c:v>99.04</c:v>
                </c:pt>
                <c:pt idx="10">
                  <c:v>99.24</c:v>
                </c:pt>
                <c:pt idx="11">
                  <c:v>99.43</c:v>
                </c:pt>
                <c:pt idx="12">
                  <c:v>99.5</c:v>
                </c:pt>
                <c:pt idx="13">
                  <c:v>100.43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913672"/>
        <c:axId val="372918376"/>
      </c:scatterChart>
      <c:valAx>
        <c:axId val="37291367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2918376"/>
        <c:crosses val="autoZero"/>
        <c:crossBetween val="midCat"/>
      </c:valAx>
      <c:valAx>
        <c:axId val="3729183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2913672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917200"/>
        <c:axId val="37291328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72917200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72913280"/>
        <c:crosses val="autoZero"/>
        <c:crossBetween val="midCat"/>
        <c:minorUnit val="25"/>
      </c:valAx>
      <c:valAx>
        <c:axId val="37291328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72917200"/>
        <c:crosses val="autoZero"/>
        <c:crossBetween val="midCat"/>
      </c:valAx>
    </c:plotArea>
    <c:legend>
      <c:legendPos val="b"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7" sqref="B7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43838</v>
      </c>
      <c r="D1" s="105"/>
      <c r="E1" s="111" t="s">
        <v>107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105</v>
      </c>
      <c r="D6" s="127"/>
      <c r="E6" s="128"/>
    </row>
    <row r="7" spans="2:5" ht="16.95" customHeight="1" x14ac:dyDescent="0.25">
      <c r="B7" s="15" t="s">
        <v>59</v>
      </c>
      <c r="C7" s="129" t="s">
        <v>108</v>
      </c>
      <c r="D7" s="130"/>
      <c r="E7" s="131"/>
    </row>
    <row r="8" spans="2:5" ht="16.95" customHeight="1" x14ac:dyDescent="0.25">
      <c r="B8" s="15" t="s">
        <v>21</v>
      </c>
      <c r="C8" s="132">
        <v>0.36</v>
      </c>
      <c r="D8" s="133"/>
      <c r="E8" s="134"/>
    </row>
    <row r="9" spans="2:5" ht="16.95" customHeight="1" x14ac:dyDescent="0.25">
      <c r="B9" s="15" t="s">
        <v>89</v>
      </c>
      <c r="C9" s="144" t="s">
        <v>106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2.7260638297872336E-3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1.1000000000000001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150.4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4.8389499999999543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9.5500000000000007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0.50669633507852918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18.847580570165196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0.81999999999999318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1.6183262897942756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0.82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1.0000000000000082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>
        <f>'Cross-section'!G14</f>
        <v>53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>
        <f>'Cross-section'!G15</f>
        <v>5.5497382198952874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4.4728829355641491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0.92434989730503336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7.7923476634580796E-2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7.202855762482592E-2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6.3305478140219789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19.120756720665209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topLeftCell="A22" zoomScaleNormal="100" workbookViewId="0">
      <selection activeCell="K24" sqref="K24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4.8389499999999543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9.5500000000000007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0.50669633507852918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18.847580570165196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0.81999999999999318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1.6183262897942756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0.82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1.0000000000000082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>
        <f t="shared" si="0"/>
        <v>53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>
        <f t="shared" si="0"/>
        <v>5.5497382198952874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4.4728829355641491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0.92434989730503336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7.7923476634580796E-2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7.202855762482592E-2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6.3305478140219789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19.120756720665209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99.62</v>
      </c>
      <c r="F29" s="31"/>
      <c r="G29" s="32"/>
      <c r="H29" s="31"/>
      <c r="J29" s="33" t="s">
        <v>15</v>
      </c>
      <c r="K29" s="34">
        <f>LOOKUP("LBKF",B29:E51)</f>
        <v>99.02</v>
      </c>
      <c r="L29" s="35"/>
    </row>
    <row r="30" spans="2:12" ht="16.5" customHeight="1" x14ac:dyDescent="0.25">
      <c r="B30" s="119"/>
      <c r="C30" s="120">
        <v>13.220000000000002</v>
      </c>
      <c r="D30" s="121"/>
      <c r="E30" s="30">
        <v>99.61</v>
      </c>
      <c r="F30" s="31">
        <f t="shared" ref="F30:F41" si="2">IF(E30&gt;0,IF(E30&lt;K$29,K$29-E30,0),0)</f>
        <v>0</v>
      </c>
      <c r="G30" s="32">
        <f t="shared" ref="G30:G41" si="3">IF(E30&gt;0,IF(E30&lt;=K$29,C30-C29,0),0)</f>
        <v>0</v>
      </c>
      <c r="H30" s="31">
        <f t="shared" ref="H30:H41" si="4">IF(E30&lt;=K$29,G30*(F29+F30)/2,0)</f>
        <v>0</v>
      </c>
      <c r="J30" s="37" t="s">
        <v>71</v>
      </c>
      <c r="K30" s="11">
        <f>SUM(H29:H51)</f>
        <v>4.8389499999999543</v>
      </c>
      <c r="L30" s="35"/>
    </row>
    <row r="31" spans="2:12" ht="16.5" customHeight="1" x14ac:dyDescent="0.25">
      <c r="B31" s="119"/>
      <c r="C31" s="120">
        <v>15.32</v>
      </c>
      <c r="D31" s="121"/>
      <c r="E31" s="30">
        <v>99.07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LOOKUP("RBKF",B29:C51)-LOOKUP("LBKF",B29:C51)</f>
        <v>9.5500000000000007</v>
      </c>
      <c r="L31" s="35"/>
    </row>
    <row r="32" spans="2:12" ht="16.5" customHeight="1" x14ac:dyDescent="0.25">
      <c r="B32" s="119" t="s">
        <v>2</v>
      </c>
      <c r="C32" s="120">
        <v>17.939999999999998</v>
      </c>
      <c r="D32" s="121"/>
      <c r="E32" s="30">
        <v>99.02</v>
      </c>
      <c r="F32" s="31">
        <f t="shared" si="2"/>
        <v>0</v>
      </c>
      <c r="G32" s="32">
        <f t="shared" si="3"/>
        <v>2.6199999999999974</v>
      </c>
      <c r="H32" s="31">
        <f t="shared" si="4"/>
        <v>0</v>
      </c>
      <c r="J32" s="37" t="s">
        <v>73</v>
      </c>
      <c r="K32" s="11">
        <f>K30/K31</f>
        <v>0.50669633507852918</v>
      </c>
      <c r="L32" s="35"/>
    </row>
    <row r="33" spans="2:13" ht="16.5" customHeight="1" x14ac:dyDescent="0.25">
      <c r="B33" s="119"/>
      <c r="C33" s="120">
        <v>19.630000000000003</v>
      </c>
      <c r="D33" s="121"/>
      <c r="E33" s="30">
        <v>98.55</v>
      </c>
      <c r="F33" s="31">
        <f t="shared" si="2"/>
        <v>0.46999999999999886</v>
      </c>
      <c r="G33" s="32">
        <f t="shared" si="3"/>
        <v>1.6900000000000048</v>
      </c>
      <c r="H33" s="31">
        <f t="shared" si="4"/>
        <v>0.39715000000000017</v>
      </c>
      <c r="J33" s="37" t="s">
        <v>74</v>
      </c>
      <c r="K33" s="38">
        <f>K31/K32</f>
        <v>18.847580570165196</v>
      </c>
      <c r="L33" s="35"/>
    </row>
    <row r="34" spans="2:13" ht="16.5" customHeight="1" x14ac:dyDescent="0.25">
      <c r="B34" s="119"/>
      <c r="C34" s="120">
        <v>21.29</v>
      </c>
      <c r="D34" s="121"/>
      <c r="E34" s="30">
        <v>98.2</v>
      </c>
      <c r="F34" s="31">
        <f t="shared" si="2"/>
        <v>0.81999999999999318</v>
      </c>
      <c r="G34" s="32">
        <f t="shared" si="3"/>
        <v>1.6599999999999966</v>
      </c>
      <c r="H34" s="31">
        <f t="shared" si="4"/>
        <v>1.0706999999999911</v>
      </c>
      <c r="J34" s="37" t="s">
        <v>75</v>
      </c>
      <c r="K34" s="11">
        <f>MAX(F29:F51)</f>
        <v>0.81999999999999318</v>
      </c>
      <c r="L34" s="35"/>
    </row>
    <row r="35" spans="2:13" ht="16.5" customHeight="1" x14ac:dyDescent="0.25">
      <c r="B35" s="119"/>
      <c r="C35" s="120">
        <v>24.53</v>
      </c>
      <c r="D35" s="121"/>
      <c r="E35" s="30">
        <v>98.37</v>
      </c>
      <c r="F35" s="31">
        <f t="shared" si="2"/>
        <v>0.64999999999999147</v>
      </c>
      <c r="G35" s="32">
        <f t="shared" si="3"/>
        <v>3.240000000000002</v>
      </c>
      <c r="H35" s="31">
        <f t="shared" si="4"/>
        <v>2.3813999999999766</v>
      </c>
      <c r="J35" s="37" t="s">
        <v>76</v>
      </c>
      <c r="K35" s="39">
        <f>K34/K32</f>
        <v>1.6183262897942756</v>
      </c>
      <c r="L35" s="35"/>
    </row>
    <row r="36" spans="2:13" ht="16.5" customHeight="1" x14ac:dyDescent="0.25">
      <c r="B36" s="119"/>
      <c r="C36" s="120">
        <v>26.71</v>
      </c>
      <c r="D36" s="121"/>
      <c r="E36" s="30">
        <v>98.83</v>
      </c>
      <c r="F36" s="31">
        <f t="shared" si="2"/>
        <v>0.18999999999999773</v>
      </c>
      <c r="G36" s="32">
        <f t="shared" si="3"/>
        <v>2.1799999999999997</v>
      </c>
      <c r="H36" s="31">
        <f t="shared" si="4"/>
        <v>0.91559999999998809</v>
      </c>
      <c r="J36" s="40" t="s">
        <v>25</v>
      </c>
      <c r="K36" s="41">
        <v>0.82</v>
      </c>
      <c r="L36" s="35"/>
    </row>
    <row r="37" spans="2:13" ht="16.5" customHeight="1" x14ac:dyDescent="0.25">
      <c r="B37" s="119" t="s">
        <v>3</v>
      </c>
      <c r="C37" s="120">
        <v>27.49</v>
      </c>
      <c r="D37" s="121"/>
      <c r="E37" s="30">
        <v>99.02</v>
      </c>
      <c r="F37" s="31">
        <f t="shared" si="2"/>
        <v>0</v>
      </c>
      <c r="G37" s="32">
        <f t="shared" si="3"/>
        <v>0.77999999999999758</v>
      </c>
      <c r="H37" s="31">
        <f t="shared" si="4"/>
        <v>7.4099999999998889E-2</v>
      </c>
      <c r="J37" s="40" t="s">
        <v>77</v>
      </c>
      <c r="K37" s="42">
        <f>+K36/K34</f>
        <v>1.0000000000000082</v>
      </c>
      <c r="L37" s="35"/>
    </row>
    <row r="38" spans="2:13" ht="16.5" customHeight="1" x14ac:dyDescent="0.25">
      <c r="B38" s="119"/>
      <c r="C38" s="120">
        <v>27.58</v>
      </c>
      <c r="D38" s="121"/>
      <c r="E38" s="30">
        <v>99.04</v>
      </c>
      <c r="F38" s="31">
        <f t="shared" si="2"/>
        <v>0</v>
      </c>
      <c r="G38" s="32">
        <f t="shared" si="3"/>
        <v>0</v>
      </c>
      <c r="H38" s="31">
        <f t="shared" si="4"/>
        <v>0</v>
      </c>
      <c r="J38" s="43" t="s">
        <v>78</v>
      </c>
      <c r="K38" s="44">
        <v>53</v>
      </c>
      <c r="L38" s="35"/>
    </row>
    <row r="39" spans="2:13" ht="16.5" customHeight="1" x14ac:dyDescent="0.25">
      <c r="B39" s="119"/>
      <c r="C39" s="120">
        <v>28.300000000000004</v>
      </c>
      <c r="D39" s="121"/>
      <c r="E39" s="30">
        <v>99.24</v>
      </c>
      <c r="F39" s="31">
        <f t="shared" si="2"/>
        <v>0</v>
      </c>
      <c r="G39" s="32">
        <f t="shared" si="3"/>
        <v>0</v>
      </c>
      <c r="H39" s="31">
        <f t="shared" si="4"/>
        <v>0</v>
      </c>
      <c r="J39" s="37" t="s">
        <v>79</v>
      </c>
      <c r="K39" s="11">
        <f>K38/K31</f>
        <v>5.5497382198952874</v>
      </c>
      <c r="L39" s="35"/>
    </row>
    <row r="40" spans="2:13" ht="16.5" customHeight="1" x14ac:dyDescent="0.25">
      <c r="B40" s="119"/>
      <c r="C40" s="120">
        <v>29.770000000000003</v>
      </c>
      <c r="D40" s="121"/>
      <c r="E40" s="30">
        <v>99.43</v>
      </c>
      <c r="F40" s="31">
        <f t="shared" si="2"/>
        <v>0</v>
      </c>
      <c r="G40" s="32">
        <f t="shared" si="3"/>
        <v>0</v>
      </c>
      <c r="H40" s="31">
        <f t="shared" si="4"/>
        <v>0</v>
      </c>
      <c r="J40" s="37" t="s">
        <v>8</v>
      </c>
      <c r="K40" s="108">
        <f>+'Longitudinal Profile'!$H$9</f>
        <v>2.7260638297872336E-3</v>
      </c>
      <c r="L40" s="45"/>
    </row>
    <row r="41" spans="2:13" ht="16.5" customHeight="1" x14ac:dyDescent="0.25">
      <c r="B41" s="119"/>
      <c r="C41" s="120">
        <v>36.550000000000004</v>
      </c>
      <c r="D41" s="121"/>
      <c r="E41" s="30">
        <v>99.5</v>
      </c>
      <c r="F41" s="31">
        <f t="shared" si="2"/>
        <v>0</v>
      </c>
      <c r="G41" s="32">
        <f t="shared" si="3"/>
        <v>0</v>
      </c>
      <c r="H41" s="31">
        <f t="shared" si="4"/>
        <v>0</v>
      </c>
      <c r="J41" s="37" t="s">
        <v>10</v>
      </c>
      <c r="K41" s="46">
        <v>0.05</v>
      </c>
      <c r="L41" s="45"/>
    </row>
    <row r="42" spans="2:13" ht="16.5" customHeight="1" x14ac:dyDescent="0.25">
      <c r="B42" s="119"/>
      <c r="C42" s="120">
        <v>68.11</v>
      </c>
      <c r="D42" s="121"/>
      <c r="E42" s="30">
        <v>100.43</v>
      </c>
      <c r="F42" s="31">
        <f t="shared" ref="F42" si="5">IF(E42&gt;0,IF(E42&lt;K$29,K$29-E42,0),0)</f>
        <v>0</v>
      </c>
      <c r="G42" s="32">
        <f t="shared" ref="G42" si="6">IF(E42&gt;0,IF(E42&lt;=K$29,C42-C41,0),0)</f>
        <v>0</v>
      </c>
      <c r="H42" s="31">
        <f t="shared" ref="H42" si="7">IF(E42&lt;=K$29,G42*(F41+F42)/2,0)</f>
        <v>0</v>
      </c>
      <c r="J42" s="37" t="s">
        <v>27</v>
      </c>
      <c r="K42" s="14">
        <f>K31+2*K32</f>
        <v>10.563392670157059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0.45808672943405859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4.4728829355641491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0.92434989730503336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7.7923476634580796E-2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7.202855762482592E-2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6.3305478140219789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19.120756720665209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3" sqref="E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136.72727272727272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150.4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0.41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2.7260638297872336E-3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2.9986702127659574E-3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1.1000000000000001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2020-04-28T19:29:11Z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