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73" l="1"/>
  <c r="E46" i="73"/>
  <c r="C46" i="73"/>
  <c r="D44" i="73"/>
  <c r="E44" i="73"/>
  <c r="C44" i="73"/>
  <c r="D42" i="73"/>
  <c r="E42" i="73"/>
  <c r="C42" i="73"/>
  <c r="D38" i="73"/>
  <c r="E38" i="73"/>
  <c r="C38" i="73"/>
  <c r="D36" i="73"/>
  <c r="E36" i="73"/>
  <c r="C36" i="73"/>
  <c r="D34" i="73"/>
  <c r="E34" i="73"/>
  <c r="C34" i="73"/>
  <c r="L31" i="70"/>
  <c r="M31" i="70"/>
  <c r="N31" i="70"/>
  <c r="L32" i="70"/>
  <c r="M32" i="70"/>
  <c r="N32" i="70"/>
  <c r="L33" i="70"/>
  <c r="M33" i="70"/>
  <c r="N33" i="70"/>
  <c r="F32" i="8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F40" i="81"/>
  <c r="G40" i="81"/>
  <c r="H40" i="81"/>
  <c r="F41" i="81"/>
  <c r="G41" i="81"/>
  <c r="H41" i="81"/>
  <c r="F31" i="81"/>
  <c r="G31" i="81"/>
  <c r="H31" i="81"/>
  <c r="K29" i="81"/>
  <c r="K30" i="81"/>
  <c r="K31" i="81"/>
  <c r="K32" i="81"/>
  <c r="K42" i="81"/>
  <c r="K43" i="81"/>
  <c r="H7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G15" i="81"/>
  <c r="G6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H10" i="70"/>
  <c r="E15" i="73"/>
  <c r="C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<sst xmlns="http://schemas.openxmlformats.org/spreadsheetml/2006/main" count="181" uniqueCount="112">
  <si>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</si>
  <si>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</si>
  <si>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</si>
  <si>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</si>
  <si>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</si>
  <si>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</si>
  <si>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</si>
  <si>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</si>
  <si>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</si>
  <si>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</si>
  <si>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</si>
  <si>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</si>
  <si>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</si>
  <si>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</si>
  <si>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</si>
  <si>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</si>
  <si>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</si>
  <si>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</si>
  <si>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</si>
  <si>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</si>
  <si>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</si>
  <si>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</si>
  <si>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</si>
  <si>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</si>
  <si>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</si>
  <si>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</si>
  <si>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</si>
  <si>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</si>
  <si>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</si>
  <si>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</si>
  <si>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</si>
  <si>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</si>
  <si>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</si>
  <si>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</si>
  <si>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</si>
  <si>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</si>
  <si>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</si>
  <si>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</si>
  <si>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</si>
  <si>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</si>
  <si>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</si>
  <si>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</si>
  <si>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</si>
  <si>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</si>
  <si>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</si>
  <si>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</si>
  <si>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</si>
  <si>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</si>
  <si>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</si>
  <si>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</si>
  <si>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</si>
  <si>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</si>
  <si>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</si>
  <si>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</si>
  <si>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</si>
  <si>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</si>
  <si>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</si>
  <si>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</si>
  <si>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</si>
  <si>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</si>
  <si>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</si>
  <si>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</si>
  <si>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</si>
  <si>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</si>
  <si>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</si>
  <si>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</si>
  <si>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</si>
  <si>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</si>
  <si>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</si>
  <si>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</si>
  <si>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</si>
  <si>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</si>
  <si>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</si>
  <si>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</si>
  <si>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</si>
  <si>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</si>
  <si>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</si>
  <si>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</si>
  <si>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</si>
  <si>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</si>
  <si>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</si>
  <si>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</si>
  <si>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</si>
  <si>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</si>
  <si>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</si>
  <si>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</si>
  <si>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</si>
  <si>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</si>
  <si>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</si>
  <si>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</si>
  <si>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</si>
  <si>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</si>
  <si>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</si>
  <si>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t>HPOOL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</si>
  <si>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</si>
  <si>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</si>
  <si>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</si>
  <si>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</si>
  <si>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</si>
  <si>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</si>
  <si>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</si>
  <si>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</si>
  <si>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</si>
  <si>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</si>
  <si>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</si>
  <si>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Joshuas Branch, Sumter National Forest</t>
  </si>
  <si>
    <t>34.372311, -81.653166</t>
  </si>
  <si>
    <t>Joshuas Branch</t>
  </si>
  <si>
    <t>sand</t>
  </si>
  <si>
    <t>&gt;204</t>
  </si>
  <si>
    <t>&gt;10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</si>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</sst>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14.21</c:v>
                </c:pt>
                <c:pt idx="2">
                  <c:v>15.14</c:v>
                </c:pt>
                <c:pt idx="3">
                  <c:v>18.079999999999998</c:v>
                </c:pt>
                <c:pt idx="4">
                  <c:v>18.440000000000001</c:v>
                </c:pt>
                <c:pt idx="5">
                  <c:v>19.23</c:v>
                </c:pt>
                <c:pt idx="6">
                  <c:v>22.52</c:v>
                </c:pt>
                <c:pt idx="7">
                  <c:v>26.08</c:v>
                </c:pt>
                <c:pt idx="8">
                  <c:v>29.07</c:v>
                </c:pt>
                <c:pt idx="9">
                  <c:v>30.33</c:v>
                </c:pt>
                <c:pt idx="10">
                  <c:v>31.13</c:v>
                </c:pt>
                <c:pt idx="11">
                  <c:v>32.869999999999997</c:v>
                </c:pt>
                <c:pt idx="12">
                  <c:v>34.6</c:v>
                </c:pt>
                <c:pt idx="13">
                  <c:v>34.96</c:v>
                </c:pt>
                <c:pt idx="14">
                  <c:v>41.96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99.68</c:v>
                </c:pt>
                <c:pt idx="1">
                  <c:v>99.22</c:v>
                </c:pt>
                <c:pt idx="2">
                  <c:v>98.82</c:v>
                </c:pt>
                <c:pt idx="3">
                  <c:v>98.24</c:v>
                </c:pt>
                <c:pt idx="4">
                  <c:v>97.66</c:v>
                </c:pt>
                <c:pt idx="5">
                  <c:v>97.37</c:v>
                </c:pt>
                <c:pt idx="6">
                  <c:v>97.4</c:v>
                </c:pt>
                <c:pt idx="7">
                  <c:v>97.4</c:v>
                </c:pt>
                <c:pt idx="8">
                  <c:v>97.24</c:v>
                </c:pt>
                <c:pt idx="9">
                  <c:v>97.41</c:v>
                </c:pt>
                <c:pt idx="10">
                  <c:v>97.84</c:v>
                </c:pt>
                <c:pt idx="11">
                  <c:v>98.17</c:v>
                </c:pt>
                <c:pt idx="12">
                  <c:v>99.22</c:v>
                </c:pt>
                <c:pt idx="13">
                  <c:v>99.45</c:v>
                </c:pt>
                <c:pt idx="14">
                  <c:v>99.92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80368"/>
        <c:axId val="123581936"/>
      </c:scatterChart>
      <c:valAx>
        <c:axId val="1235803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581936"/>
        <c:crosses val="autoZero"/>
        <c:crossBetween val="midCat"/>
      </c:valAx>
      <c:valAx>
        <c:axId val="1235819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58036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21.88</c:v>
                </c:pt>
                <c:pt idx="2">
                  <c:v>28.34</c:v>
                </c:pt>
                <c:pt idx="3">
                  <c:v>33.19</c:v>
                </c:pt>
                <c:pt idx="4">
                  <c:v>52.92</c:v>
                </c:pt>
                <c:pt idx="5">
                  <c:v>61.32</c:v>
                </c:pt>
                <c:pt idx="6">
                  <c:v>73.069999999999993</c:v>
                </c:pt>
                <c:pt idx="7">
                  <c:v>96.34</c:v>
                </c:pt>
                <c:pt idx="8">
                  <c:v>102.87</c:v>
                </c:pt>
                <c:pt idx="9">
                  <c:v>113.17</c:v>
                </c:pt>
                <c:pt idx="10">
                  <c:v>127.22</c:v>
                </c:pt>
                <c:pt idx="11">
                  <c:v>137.30000000000001</c:v>
                </c:pt>
                <c:pt idx="12">
                  <c:v>146.68</c:v>
                </c:pt>
                <c:pt idx="13">
                  <c:v>152.21</c:v>
                </c:pt>
                <c:pt idx="14">
                  <c:v>157.09</c:v>
                </c:pt>
                <c:pt idx="15">
                  <c:v>163.16</c:v>
                </c:pt>
                <c:pt idx="16">
                  <c:v>173.86</c:v>
                </c:pt>
                <c:pt idx="17">
                  <c:v>187.65</c:v>
                </c:pt>
                <c:pt idx="18">
                  <c:v>205.82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97.83</c:v>
                </c:pt>
                <c:pt idx="1">
                  <c:v>97.71</c:v>
                </c:pt>
                <c:pt idx="2">
                  <c:v>97.31</c:v>
                </c:pt>
                <c:pt idx="3">
                  <c:v>97.62</c:v>
                </c:pt>
                <c:pt idx="4">
                  <c:v>97.54</c:v>
                </c:pt>
                <c:pt idx="5">
                  <c:v>97.29</c:v>
                </c:pt>
                <c:pt idx="6">
                  <c:v>97.51</c:v>
                </c:pt>
                <c:pt idx="7">
                  <c:v>97.54</c:v>
                </c:pt>
                <c:pt idx="8">
                  <c:v>97.16</c:v>
                </c:pt>
                <c:pt idx="9">
                  <c:v>97.06</c:v>
                </c:pt>
                <c:pt idx="10">
                  <c:v>96.99</c:v>
                </c:pt>
                <c:pt idx="11">
                  <c:v>97.31</c:v>
                </c:pt>
                <c:pt idx="12">
                  <c:v>97.24</c:v>
                </c:pt>
                <c:pt idx="13">
                  <c:v>97.12</c:v>
                </c:pt>
                <c:pt idx="14">
                  <c:v>96.96</c:v>
                </c:pt>
                <c:pt idx="15">
                  <c:v>97.24</c:v>
                </c:pt>
                <c:pt idx="16">
                  <c:v>97.32</c:v>
                </c:pt>
                <c:pt idx="17">
                  <c:v>97.23</c:v>
                </c:pt>
                <c:pt idx="18">
                  <c:v>96.59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21.88</c:v>
                </c:pt>
                <c:pt idx="2">
                  <c:v>28.34</c:v>
                </c:pt>
                <c:pt idx="3">
                  <c:v>33.19</c:v>
                </c:pt>
                <c:pt idx="4">
                  <c:v>52.92</c:v>
                </c:pt>
                <c:pt idx="5">
                  <c:v>61.32</c:v>
                </c:pt>
                <c:pt idx="6">
                  <c:v>73.069999999999993</c:v>
                </c:pt>
                <c:pt idx="7">
                  <c:v>96.34</c:v>
                </c:pt>
                <c:pt idx="8">
                  <c:v>102.87</c:v>
                </c:pt>
                <c:pt idx="9">
                  <c:v>113.17</c:v>
                </c:pt>
                <c:pt idx="10">
                  <c:v>127.22</c:v>
                </c:pt>
                <c:pt idx="11">
                  <c:v>137.30000000000001</c:v>
                </c:pt>
                <c:pt idx="12">
                  <c:v>146.68</c:v>
                </c:pt>
                <c:pt idx="13">
                  <c:v>152.21</c:v>
                </c:pt>
                <c:pt idx="14">
                  <c:v>157.09</c:v>
                </c:pt>
                <c:pt idx="15">
                  <c:v>163.16</c:v>
                </c:pt>
                <c:pt idx="16">
                  <c:v>173.86</c:v>
                </c:pt>
                <c:pt idx="17">
                  <c:v>187.65</c:v>
                </c:pt>
                <c:pt idx="18">
                  <c:v>205.82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98</c:v>
                </c:pt>
                <c:pt idx="1">
                  <c:v>97.86</c:v>
                </c:pt>
                <c:pt idx="3">
                  <c:v>97.82</c:v>
                </c:pt>
                <c:pt idx="4">
                  <c:v>97.78</c:v>
                </c:pt>
                <c:pt idx="5">
                  <c:v>97.74</c:v>
                </c:pt>
                <c:pt idx="6">
                  <c:v>97.7</c:v>
                </c:pt>
                <c:pt idx="7">
                  <c:v>97.64</c:v>
                </c:pt>
                <c:pt idx="9">
                  <c:v>97.6</c:v>
                </c:pt>
                <c:pt idx="11">
                  <c:v>97.57</c:v>
                </c:pt>
                <c:pt idx="13">
                  <c:v>97.52</c:v>
                </c:pt>
                <c:pt idx="15">
                  <c:v>97.51</c:v>
                </c:pt>
                <c:pt idx="16">
                  <c:v>97.45</c:v>
                </c:pt>
                <c:pt idx="17">
                  <c:v>97.36</c:v>
                </c:pt>
                <c:pt idx="18">
                  <c:v>97.36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75664"/>
        <c:axId val="12357801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21.88</c:v>
                      </c:pt>
                      <c:pt idx="2">
                        <c:v>28.34</c:v>
                      </c:pt>
                      <c:pt idx="3">
                        <c:v>33.19</c:v>
                      </c:pt>
                      <c:pt idx="4">
                        <c:v>52.92</c:v>
                      </c:pt>
                      <c:pt idx="5">
                        <c:v>61.32</c:v>
                      </c:pt>
                      <c:pt idx="6">
                        <c:v>73.069999999999993</c:v>
                      </c:pt>
                      <c:pt idx="7">
                        <c:v>96.34</c:v>
                      </c:pt>
                      <c:pt idx="8">
                        <c:v>102.87</c:v>
                      </c:pt>
                      <c:pt idx="9">
                        <c:v>113.17</c:v>
                      </c:pt>
                      <c:pt idx="10">
                        <c:v>127.22</c:v>
                      </c:pt>
                      <c:pt idx="11">
                        <c:v>137.30000000000001</c:v>
                      </c:pt>
                      <c:pt idx="12">
                        <c:v>146.68</c:v>
                      </c:pt>
                      <c:pt idx="13">
                        <c:v>152.21</c:v>
                      </c:pt>
                      <c:pt idx="14">
                        <c:v>157.09</c:v>
                      </c:pt>
                      <c:pt idx="15">
                        <c:v>163.16</c:v>
                      </c:pt>
                      <c:pt idx="16">
                        <c:v>173.86</c:v>
                      </c:pt>
                      <c:pt idx="17">
                        <c:v>187.65</c:v>
                      </c:pt>
                      <c:pt idx="18">
                        <c:v>205.82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21.88</c:v>
                      </c:pt>
                      <c:pt idx="2">
                        <c:v>28.34</c:v>
                      </c:pt>
                      <c:pt idx="3">
                        <c:v>33.19</c:v>
                      </c:pt>
                      <c:pt idx="4">
                        <c:v>52.92</c:v>
                      </c:pt>
                      <c:pt idx="5">
                        <c:v>61.32</c:v>
                      </c:pt>
                      <c:pt idx="6">
                        <c:v>73.069999999999993</c:v>
                      </c:pt>
                      <c:pt idx="7">
                        <c:v>96.34</c:v>
                      </c:pt>
                      <c:pt idx="8">
                        <c:v>102.87</c:v>
                      </c:pt>
                      <c:pt idx="9">
                        <c:v>113.17</c:v>
                      </c:pt>
                      <c:pt idx="10">
                        <c:v>127.22</c:v>
                      </c:pt>
                      <c:pt idx="11">
                        <c:v>137.30000000000001</c:v>
                      </c:pt>
                      <c:pt idx="12">
                        <c:v>146.68</c:v>
                      </c:pt>
                      <c:pt idx="13">
                        <c:v>152.21</c:v>
                      </c:pt>
                      <c:pt idx="14">
                        <c:v>157.09</c:v>
                      </c:pt>
                      <c:pt idx="15">
                        <c:v>163.16</c:v>
                      </c:pt>
                      <c:pt idx="16">
                        <c:v>173.86</c:v>
                      </c:pt>
                      <c:pt idx="17">
                        <c:v>187.65</c:v>
                      </c:pt>
                      <c:pt idx="18">
                        <c:v>205.82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23575664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3578016"/>
        <c:crosses val="autoZero"/>
        <c:crossBetween val="midCat"/>
        <c:minorUnit val="25"/>
      </c:valAx>
      <c:valAx>
        <c:axId val="12357801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2357566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105</v>
      </c>
      <c r="C1" s="110">
        <v>43810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107</v>
      </c>
      <c r="D6" s="127"/>
      <c r="E6" s="128"/>
    </row>
    <row r="7" spans="2:5" ht="16.95" customHeight="1" x14ac:dyDescent="0.25">
      <c r="B7" s="15" t="s">
        <v>59</v>
      </c>
      <c r="C7" s="129" t="s">
        <v>111</v>
      </c>
      <c r="D7" s="130"/>
      <c r="E7" s="131"/>
    </row>
    <row r="8" spans="2:5" ht="16.95" customHeight="1" x14ac:dyDescent="0.25">
      <c r="B8" s="15" t="s">
        <v>21</v>
      </c>
      <c r="C8" s="132">
        <v>2.98</v>
      </c>
      <c r="D8" s="133"/>
      <c r="E8" s="134"/>
    </row>
    <row r="9" spans="2:5" ht="16.95" customHeight="1" x14ac:dyDescent="0.25">
      <c r="B9" s="15" t="s">
        <v>88</v>
      </c>
      <c r="C9" s="144" t="s">
        <v>108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3.1627372052903803E-3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1.2881481481481483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173.9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28.90214999999996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20.39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1.417466895537026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14.384815662502637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1.980000000000004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1.3968580192131084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1.98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0.999999999999998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&gt;204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53.888165396874662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1.8645036925237304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0.24559717287754343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0.45791683570356867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19.952454806154513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60.264300268536488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Geometry'!H7</f>
        <v>87</v>
      </c>
      <c r="D33" s="13">
        <f>'Planform Geometry'!I7</f>
        <v>89</v>
      </c>
      <c r="E33" s="13">
        <f>'Planform Geometry'!J7</f>
        <v>95</v>
      </c>
    </row>
    <row r="34" spans="2:5" ht="16.95" customHeight="1" x14ac:dyDescent="0.25">
      <c r="B34" s="40" t="s">
        <v>94</v>
      </c>
      <c r="C34" s="14">
        <f>C33/$C$15</f>
        <v>4.2667974497302597</v>
      </c>
      <c r="D34" s="14">
        <f t="shared" ref="D34:E34" si="0">D33/$C$15</f>
        <v>4.3648847474252079</v>
      </c>
      <c r="E34" s="14">
        <f t="shared" si="0"/>
        <v>4.6591466405100537</v>
      </c>
    </row>
    <row r="35" spans="2:5" ht="16.95" customHeight="1" x14ac:dyDescent="0.25">
      <c r="B35" s="40" t="s">
        <v>26</v>
      </c>
      <c r="C35" s="13">
        <f>+'Planform Geometry'!H8</f>
        <v>31</v>
      </c>
      <c r="D35" s="13">
        <f>+'Planform Geometry'!I8</f>
        <v>44</v>
      </c>
      <c r="E35" s="13">
        <f>+'Planform Geometry'!J8</f>
        <v>46</v>
      </c>
    </row>
    <row r="36" spans="2:5" ht="16.95" customHeight="1" x14ac:dyDescent="0.25">
      <c r="B36" s="40" t="s">
        <v>95</v>
      </c>
      <c r="C36" s="14">
        <f>C35/$C$15</f>
        <v>1.5203531142717017</v>
      </c>
      <c r="D36" s="14">
        <f t="shared" ref="D36:E36" si="1">D35/$C$15</f>
        <v>2.1579205492888671</v>
      </c>
      <c r="E36" s="14">
        <f t="shared" si="1"/>
        <v>2.2560078469838154</v>
      </c>
    </row>
    <row r="37" spans="2:5" ht="16.95" customHeight="1" x14ac:dyDescent="0.25">
      <c r="B37" s="40" t="s">
        <v>87</v>
      </c>
      <c r="C37" s="13">
        <f>+'Planform Geometry'!H9</f>
        <v>27</v>
      </c>
      <c r="D37" s="13">
        <f>+'Planform Geometry'!I9</f>
        <v>34</v>
      </c>
      <c r="E37" s="13">
        <f>+'Planform Geometry'!J9</f>
        <v>47</v>
      </c>
    </row>
    <row r="38" spans="2:5" ht="16.95" customHeight="1" thickBot="1" x14ac:dyDescent="0.3">
      <c r="B38" s="115" t="s">
        <v>96</v>
      </c>
      <c r="C38" s="14">
        <f>C37/$C$15</f>
        <v>1.3241785188818047</v>
      </c>
      <c r="D38" s="14">
        <f t="shared" ref="D38:E38" si="2">D37/$C$15</f>
        <v>1.6674840608141246</v>
      </c>
      <c r="E38" s="14">
        <f t="shared" si="2"/>
        <v>2.30505149583129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97</v>
      </c>
      <c r="C41" s="14">
        <f>+'Longitudinal Profile'!T8</f>
        <v>11.3</v>
      </c>
      <c r="D41" s="14">
        <f>+'Longitudinal Profile'!U8</f>
        <v>20.95</v>
      </c>
      <c r="E41" s="14">
        <f>+'Longitudinal Profile'!V8</f>
        <v>41</v>
      </c>
    </row>
    <row r="42" spans="2:5" ht="16.95" customHeight="1" x14ac:dyDescent="0.25">
      <c r="B42" s="40" t="s">
        <v>98</v>
      </c>
      <c r="C42" s="14">
        <f>C41/$C$15</f>
        <v>0.55419323197645909</v>
      </c>
      <c r="D42" s="14">
        <f t="shared" ref="D42:E42" si="3">D41/$C$15</f>
        <v>1.0274644433545854</v>
      </c>
      <c r="E42" s="14">
        <f t="shared" si="3"/>
        <v>2.0107896027464442</v>
      </c>
    </row>
    <row r="43" spans="2:5" ht="16.95" customHeight="1" x14ac:dyDescent="0.25">
      <c r="B43" s="40" t="s">
        <v>22</v>
      </c>
      <c r="C43" s="16">
        <f>+'Longitudinal Profile'!T9</f>
        <v>29.9</v>
      </c>
      <c r="D43" s="14">
        <f>+'Longitudinal Profile'!U9</f>
        <v>40.85</v>
      </c>
      <c r="E43" s="16">
        <f>+'Longitudinal Profile'!V9</f>
        <v>65.900000000000006</v>
      </c>
    </row>
    <row r="44" spans="2:5" ht="16.95" customHeight="1" x14ac:dyDescent="0.25">
      <c r="B44" s="40" t="s">
        <v>99</v>
      </c>
      <c r="C44" s="14">
        <f>C43/$C$15</f>
        <v>1.46640510053948</v>
      </c>
      <c r="D44" s="14">
        <f t="shared" ref="D44:E44" si="4">D43/$C$15</f>
        <v>2.0034330554193231</v>
      </c>
      <c r="E44" s="14">
        <f t="shared" si="4"/>
        <v>3.2319764590485534</v>
      </c>
    </row>
    <row r="45" spans="2:5" ht="16.95" customHeight="1" x14ac:dyDescent="0.25">
      <c r="B45" s="40" t="s">
        <v>100</v>
      </c>
      <c r="C45" s="14">
        <f>+'Longitudinal Profile'!T7</f>
        <v>13.8</v>
      </c>
      <c r="D45" s="14">
        <f>+'Longitudinal Profile'!U7</f>
        <v>19.7</v>
      </c>
      <c r="E45" s="14">
        <f>+'Longitudinal Profile'!V7</f>
        <v>23.2</v>
      </c>
    </row>
    <row r="46" spans="2:5" ht="16.95" customHeight="1" x14ac:dyDescent="0.25">
      <c r="B46" s="40" t="s">
        <v>101</v>
      </c>
      <c r="C46" s="14">
        <f>C45/$C$15</f>
        <v>0.67680235409514466</v>
      </c>
      <c r="D46" s="14">
        <f t="shared" ref="D46:E46" si="5">D45/$C$15</f>
        <v>0.96615988229524274</v>
      </c>
      <c r="E46" s="14">
        <f t="shared" si="5"/>
        <v>1.1378126532614026</v>
      </c>
    </row>
    <row r="47" spans="2:5" ht="16.95" customHeight="1" x14ac:dyDescent="0.25">
      <c r="B47" s="40" t="s">
        <v>102</v>
      </c>
      <c r="C47" s="62">
        <f>+'Longitudinal Profile'!T10</f>
        <v>2E-3</v>
      </c>
      <c r="D47" s="62">
        <f>+'Longitudinal Profile'!U10</f>
        <v>3.3999999999999998E-3</v>
      </c>
      <c r="E47" s="62">
        <f>+'Longitudinal Profile'!V10</f>
        <v>6.4999999999999997E-3</v>
      </c>
    </row>
    <row r="48" spans="2:5" ht="16.95" customHeight="1" x14ac:dyDescent="0.25">
      <c r="B48" s="40" t="s">
        <v>103</v>
      </c>
      <c r="C48" s="14">
        <f>C47/$C$10</f>
        <v>0.63236363636363968</v>
      </c>
      <c r="D48" s="14">
        <f t="shared" ref="D48:E48" si="6">D47/$C$10</f>
        <v>1.0750181818181874</v>
      </c>
      <c r="E48" s="14">
        <f t="shared" si="6"/>
        <v>2.0551818181818287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D1" sqref="D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28.90214999999996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20.39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1.417466895537026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14.384815662502637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1.980000000000004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1.3968580192131084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1.98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0.999999999999998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&gt;204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53.888165396874662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1.8645036925237304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0.24559717287754343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0.45791683570356867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19.952454806154513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60.264300268536488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173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99.68</v>
      </c>
      <c r="F29" s="31"/>
      <c r="G29" s="32"/>
      <c r="H29" s="31"/>
      <c r="J29" s="33" t="s">
        <v>15</v>
      </c>
      <c r="K29" s="34">
        <f>LOOKUP("LBKF",B29:E50)</f>
        <v>99.22</v>
      </c>
      <c r="L29" s="35"/>
    </row>
    <row r="30" spans="2:12" ht="16.5" customHeight="1" x14ac:dyDescent="0.25">
      <c r="B30" s="119" t="s">
        <v>2</v>
      </c>
      <c r="C30" s="120">
        <v>14.21</v>
      </c>
      <c r="D30" s="121"/>
      <c r="E30" s="30">
        <v>99.22</v>
      </c>
      <c r="F30" s="31"/>
      <c r="G30" s="32"/>
      <c r="H30" s="31"/>
      <c r="J30" s="37" t="s">
        <v>71</v>
      </c>
      <c r="K30" s="11">
        <f>SUM(H29:H50)</f>
        <v>28.90214999999996</v>
      </c>
      <c r="L30" s="35"/>
    </row>
    <row r="31" spans="2:12" ht="16.5" customHeight="1" x14ac:dyDescent="0.25">
      <c r="B31" s="119"/>
      <c r="C31" s="120">
        <v>15.14</v>
      </c>
      <c r="D31" s="121"/>
      <c r="E31" s="30">
        <v>98.82</v>
      </c>
      <c r="F31" s="31">
        <f t="shared" ref="F31" si="2">IF(E31&gt;0,IF(E31&lt;K$29,K$29-E31,0),0)</f>
        <v>0.40000000000000568</v>
      </c>
      <c r="G31" s="32">
        <f t="shared" ref="G31" si="3">IF(E31&gt;0,IF(E31&lt;=K$29,C31-C30,0),0)</f>
        <v>0.92999999999999972</v>
      </c>
      <c r="H31" s="31">
        <f t="shared" ref="H31" si="4">IF(E31&lt;=K$29,G31*(F30+F31)/2,0)</f>
        <v>0.18600000000000258</v>
      </c>
      <c r="J31" s="37" t="s">
        <v>72</v>
      </c>
      <c r="K31" s="11">
        <f>LOOKUP("RBKF",B29:C50)-LOOKUP("LBKF",B29:C50)</f>
        <v>20.39</v>
      </c>
      <c r="L31" s="35"/>
    </row>
    <row r="32" spans="2:12" ht="16.5" customHeight="1" x14ac:dyDescent="0.25">
      <c r="B32" s="119"/>
      <c r="C32" s="120">
        <v>18.079999999999998</v>
      </c>
      <c r="D32" s="121"/>
      <c r="E32" s="30">
        <v>98.24</v>
      </c>
      <c r="F32" s="31">
        <f t="shared" ref="F32:F41" si="5">IF(E32&gt;0,IF(E32&lt;K$29,K$29-E32,0),0)</f>
        <v>0.98000000000000398</v>
      </c>
      <c r="G32" s="32">
        <f t="shared" ref="G32:G41" si="6">IF(E32&gt;0,IF(E32&lt;=K$29,C32-C31,0),0)</f>
        <v>2.9399999999999977</v>
      </c>
      <c r="H32" s="31">
        <f t="shared" ref="H32:H41" si="7">IF(E32&lt;=K$29,G32*(F31+F32)/2,0)</f>
        <v>2.0286000000000128</v>
      </c>
      <c r="J32" s="37" t="s">
        <v>73</v>
      </c>
      <c r="K32" s="11">
        <f>K30/K31</f>
        <v>1.417466895537026</v>
      </c>
      <c r="L32" s="35"/>
    </row>
    <row r="33" spans="2:13" ht="16.5" customHeight="1" x14ac:dyDescent="0.25">
      <c r="B33" s="119"/>
      <c r="C33" s="120">
        <v>18.440000000000001</v>
      </c>
      <c r="D33" s="121"/>
      <c r="E33" s="30">
        <v>97.66</v>
      </c>
      <c r="F33" s="31">
        <f t="shared" si="5"/>
        <v>1.5600000000000023</v>
      </c>
      <c r="G33" s="32">
        <f t="shared" si="6"/>
        <v>0.36000000000000298</v>
      </c>
      <c r="H33" s="31">
        <f t="shared" si="7"/>
        <v>0.45720000000000494</v>
      </c>
      <c r="J33" s="37" t="s">
        <v>74</v>
      </c>
      <c r="K33" s="38">
        <f>K31/K32</f>
        <v>14.384815662502637</v>
      </c>
      <c r="L33" s="35"/>
    </row>
    <row r="34" spans="2:13" ht="16.5" customHeight="1" x14ac:dyDescent="0.25">
      <c r="B34" s="119"/>
      <c r="C34" s="120">
        <v>19.23</v>
      </c>
      <c r="D34" s="121"/>
      <c r="E34" s="30">
        <v>97.37</v>
      </c>
      <c r="F34" s="31">
        <f t="shared" si="5"/>
        <v>1.8499999999999943</v>
      </c>
      <c r="G34" s="32">
        <f t="shared" si="6"/>
        <v>0.78999999999999915</v>
      </c>
      <c r="H34" s="31">
        <f t="shared" si="7"/>
        <v>1.3469499999999972</v>
      </c>
      <c r="J34" s="37" t="s">
        <v>75</v>
      </c>
      <c r="K34" s="11">
        <f>MAX(F29:F50)</f>
        <v>1.980000000000004</v>
      </c>
      <c r="L34" s="35"/>
    </row>
    <row r="35" spans="2:13" ht="16.5" customHeight="1" x14ac:dyDescent="0.25">
      <c r="B35" s="119"/>
      <c r="C35" s="120">
        <v>22.52</v>
      </c>
      <c r="D35" s="121"/>
      <c r="E35" s="30">
        <v>97.4</v>
      </c>
      <c r="F35" s="31">
        <f t="shared" si="5"/>
        <v>1.8199999999999932</v>
      </c>
      <c r="G35" s="32">
        <f t="shared" si="6"/>
        <v>3.2899999999999991</v>
      </c>
      <c r="H35" s="31">
        <f t="shared" si="7"/>
        <v>6.0371499999999783</v>
      </c>
      <c r="J35" s="37" t="s">
        <v>76</v>
      </c>
      <c r="K35" s="39">
        <f>K34/K32</f>
        <v>1.3968580192131084</v>
      </c>
      <c r="L35" s="35"/>
    </row>
    <row r="36" spans="2:13" ht="16.5" customHeight="1" x14ac:dyDescent="0.25">
      <c r="B36" s="119"/>
      <c r="C36" s="120">
        <v>26.08</v>
      </c>
      <c r="D36" s="121"/>
      <c r="E36" s="30">
        <v>97.4</v>
      </c>
      <c r="F36" s="31">
        <f t="shared" si="5"/>
        <v>1.8199999999999932</v>
      </c>
      <c r="G36" s="32">
        <f t="shared" si="6"/>
        <v>3.5599999999999987</v>
      </c>
      <c r="H36" s="31">
        <f t="shared" si="7"/>
        <v>6.479199999999973</v>
      </c>
      <c r="J36" s="40" t="s">
        <v>25</v>
      </c>
      <c r="K36" s="41">
        <v>1.98</v>
      </c>
      <c r="L36" s="35"/>
    </row>
    <row r="37" spans="2:13" ht="16.5" customHeight="1" x14ac:dyDescent="0.25">
      <c r="B37" s="119"/>
      <c r="C37" s="120">
        <v>29.07</v>
      </c>
      <c r="D37" s="121"/>
      <c r="E37" s="30">
        <v>97.24</v>
      </c>
      <c r="F37" s="31">
        <f t="shared" si="5"/>
        <v>1.980000000000004</v>
      </c>
      <c r="G37" s="32">
        <f t="shared" si="6"/>
        <v>2.990000000000002</v>
      </c>
      <c r="H37" s="31">
        <f t="shared" si="7"/>
        <v>5.6809999999999992</v>
      </c>
      <c r="J37" s="40" t="s">
        <v>77</v>
      </c>
      <c r="K37" s="42">
        <f>+K36/K34</f>
        <v>0.999999999999998</v>
      </c>
      <c r="L37" s="35"/>
    </row>
    <row r="38" spans="2:13" ht="16.5" customHeight="1" x14ac:dyDescent="0.25">
      <c r="B38" s="119"/>
      <c r="C38" s="120">
        <v>30.33</v>
      </c>
      <c r="D38" s="121"/>
      <c r="E38" s="30">
        <v>97.41</v>
      </c>
      <c r="F38" s="31">
        <f t="shared" si="5"/>
        <v>1.8100000000000023</v>
      </c>
      <c r="G38" s="32">
        <f t="shared" si="6"/>
        <v>1.259999999999998</v>
      </c>
      <c r="H38" s="31">
        <f t="shared" si="7"/>
        <v>2.3877000000000002</v>
      </c>
      <c r="J38" s="43" t="s">
        <v>78</v>
      </c>
      <c r="K38" s="44" t="s">
        <v>109</v>
      </c>
      <c r="L38" s="35"/>
    </row>
    <row r="39" spans="2:13" ht="16.5" customHeight="1" x14ac:dyDescent="0.25">
      <c r="B39" s="119"/>
      <c r="C39" s="120">
        <v>31.13</v>
      </c>
      <c r="D39" s="121"/>
      <c r="E39" s="30">
        <v>97.84</v>
      </c>
      <c r="F39" s="31">
        <f t="shared" si="5"/>
        <v>1.3799999999999955</v>
      </c>
      <c r="G39" s="32">
        <f t="shared" si="6"/>
        <v>0.80000000000000071</v>
      </c>
      <c r="H39" s="31">
        <f t="shared" si="7"/>
        <v>1.2760000000000002</v>
      </c>
      <c r="J39" s="37" t="s">
        <v>79</v>
      </c>
      <c r="K39" s="11" t="s">
        <v>110</v>
      </c>
      <c r="L39" s="35"/>
    </row>
    <row r="40" spans="2:13" ht="16.5" customHeight="1" x14ac:dyDescent="0.25">
      <c r="B40" s="119"/>
      <c r="C40" s="120">
        <v>32.869999999999997</v>
      </c>
      <c r="D40" s="121"/>
      <c r="E40" s="30">
        <v>98.17</v>
      </c>
      <c r="F40" s="31">
        <f t="shared" si="5"/>
        <v>1.0499999999999972</v>
      </c>
      <c r="G40" s="32">
        <f t="shared" si="6"/>
        <v>1.7399999999999984</v>
      </c>
      <c r="H40" s="31">
        <f t="shared" si="7"/>
        <v>2.1140999999999917</v>
      </c>
      <c r="J40" s="37" t="s">
        <v>8</v>
      </c>
      <c r="K40" s="108">
        <f>+'Longitudinal Profile'!$H$9</f>
        <v>3.1627372052903803E-3</v>
      </c>
      <c r="L40" s="45"/>
    </row>
    <row r="41" spans="2:13" ht="16.5" customHeight="1" x14ac:dyDescent="0.25">
      <c r="B41" s="119" t="s">
        <v>3</v>
      </c>
      <c r="C41" s="120">
        <v>34.6</v>
      </c>
      <c r="D41" s="121"/>
      <c r="E41" s="30">
        <v>99.22</v>
      </c>
      <c r="F41" s="31">
        <f t="shared" si="5"/>
        <v>0</v>
      </c>
      <c r="G41" s="32">
        <f t="shared" si="6"/>
        <v>1.730000000000004</v>
      </c>
      <c r="H41" s="31">
        <f t="shared" si="7"/>
        <v>0.90824999999999967</v>
      </c>
      <c r="J41" s="37" t="s">
        <v>10</v>
      </c>
      <c r="K41" s="46">
        <v>5.1999999999999998E-2</v>
      </c>
      <c r="L41" s="45"/>
    </row>
    <row r="42" spans="2:13" ht="16.5" customHeight="1" x14ac:dyDescent="0.25">
      <c r="B42" s="119"/>
      <c r="C42" s="120">
        <v>34.96</v>
      </c>
      <c r="D42" s="121"/>
      <c r="E42" s="30">
        <v>99.45</v>
      </c>
      <c r="F42" s="31"/>
      <c r="G42" s="32"/>
      <c r="H42" s="31"/>
      <c r="J42" s="37" t="s">
        <v>27</v>
      </c>
      <c r="K42" s="14">
        <f>K31+2*K32</f>
        <v>23.224933791074051</v>
      </c>
      <c r="L42" s="47"/>
      <c r="M42" s="47"/>
    </row>
    <row r="43" spans="2:13" ht="16.5" customHeight="1" x14ac:dyDescent="0.25">
      <c r="B43" s="119"/>
      <c r="C43" s="120">
        <v>41.96</v>
      </c>
      <c r="D43" s="121"/>
      <c r="E43" s="30">
        <v>99.92</v>
      </c>
      <c r="F43" s="31"/>
      <c r="G43" s="32"/>
      <c r="H43" s="31"/>
      <c r="J43" s="37" t="s">
        <v>9</v>
      </c>
      <c r="K43" s="14">
        <f>K30/K42</f>
        <v>1.2444448823835963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53.888165396874662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1.8645036925237304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0.24559717287754343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0.45791683570356867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19.952454806154513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60.264300268536488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>
        <v>0</v>
      </c>
      <c r="D6" s="73">
        <v>98</v>
      </c>
      <c r="F6" s="181" t="s">
        <v>28</v>
      </c>
      <c r="G6" s="182"/>
      <c r="H6" s="74">
        <v>135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v>173.9</v>
      </c>
      <c r="D7" s="73">
        <v>97.45</v>
      </c>
      <c r="F7" s="76" t="s">
        <v>29</v>
      </c>
      <c r="G7" s="77"/>
      <c r="H7" s="39">
        <f>C7-C6</f>
        <v>173.9</v>
      </c>
      <c r="I7" s="67"/>
      <c r="J7" s="179" t="s">
        <v>84</v>
      </c>
      <c r="K7" s="179"/>
      <c r="L7" s="41">
        <v>21.9</v>
      </c>
      <c r="M7" s="41">
        <v>19.7</v>
      </c>
      <c r="N7" s="41">
        <v>23.2</v>
      </c>
      <c r="O7" s="41">
        <v>14.9</v>
      </c>
      <c r="P7" s="41">
        <v>13.8</v>
      </c>
      <c r="Q7" s="41"/>
      <c r="R7" s="41"/>
      <c r="S7" s="41"/>
      <c r="T7" s="14">
        <f>MIN(L7:P7)</f>
        <v>13.8</v>
      </c>
      <c r="U7" s="14">
        <f>MEDIAN(L7:P7)</f>
        <v>19.7</v>
      </c>
      <c r="V7" s="14">
        <f>MAX(L7:P7)</f>
        <v>23.2</v>
      </c>
    </row>
    <row r="8" spans="2:22" ht="16.5" customHeight="1" x14ac:dyDescent="0.3">
      <c r="B8" s="78"/>
      <c r="C8" s="79" t="s">
        <v>89</v>
      </c>
      <c r="D8" s="103"/>
      <c r="F8" s="76" t="s">
        <v>30</v>
      </c>
      <c r="G8" s="77"/>
      <c r="H8" s="31">
        <f>D6-D7</f>
        <v>0.54999999999999716</v>
      </c>
      <c r="I8" s="53"/>
      <c r="J8" s="60" t="s">
        <v>83</v>
      </c>
      <c r="K8" s="60"/>
      <c r="L8" s="41">
        <v>11.3</v>
      </c>
      <c r="M8" s="41">
        <v>20.2</v>
      </c>
      <c r="N8" s="41">
        <v>41</v>
      </c>
      <c r="O8" s="41">
        <v>21.7</v>
      </c>
      <c r="P8" s="41"/>
      <c r="Q8" s="41"/>
      <c r="R8" s="41"/>
      <c r="S8" s="41"/>
      <c r="T8" s="14">
        <f>MIN(L8:P8)</f>
        <v>11.3</v>
      </c>
      <c r="U8" s="14">
        <f>MEDIAN(L8:P8)</f>
        <v>20.95</v>
      </c>
      <c r="V8" s="14">
        <f>MAX(L8:P8)</f>
        <v>41</v>
      </c>
    </row>
    <row r="9" spans="2:22" ht="16.5" customHeight="1" x14ac:dyDescent="0.3">
      <c r="B9" s="78"/>
      <c r="C9" s="79" t="s">
        <v>90</v>
      </c>
      <c r="D9" s="22"/>
      <c r="F9" s="76" t="s">
        <v>31</v>
      </c>
      <c r="G9" s="77"/>
      <c r="H9" s="80">
        <f>H8/H7</f>
        <v>3.1627372052903803E-3</v>
      </c>
      <c r="I9" s="54"/>
      <c r="J9" s="60" t="s">
        <v>22</v>
      </c>
      <c r="K9" s="60"/>
      <c r="L9" s="41">
        <v>33</v>
      </c>
      <c r="M9" s="41">
        <v>65.900000000000006</v>
      </c>
      <c r="N9" s="41">
        <v>29.9</v>
      </c>
      <c r="O9" s="41">
        <v>48.7</v>
      </c>
      <c r="P9" s="41"/>
      <c r="Q9" s="41"/>
      <c r="R9" s="41"/>
      <c r="S9" s="41"/>
      <c r="T9" s="14">
        <f>MIN(L9:P9)</f>
        <v>29.9</v>
      </c>
      <c r="U9" s="14">
        <f>MEDIAN(L9:P9)</f>
        <v>40.85</v>
      </c>
      <c r="V9" s="14">
        <f>MAX(L9:P9)</f>
        <v>65.900000000000006</v>
      </c>
    </row>
    <row r="10" spans="2:22" ht="16.5" customHeight="1" x14ac:dyDescent="0.3">
      <c r="B10" s="78"/>
      <c r="C10" s="21" t="s">
        <v>91</v>
      </c>
      <c r="D10" s="22"/>
      <c r="F10" s="76" t="s">
        <v>32</v>
      </c>
      <c r="G10" s="77"/>
      <c r="H10" s="80">
        <f>H8/H6</f>
        <v>4.0740740740740529E-3</v>
      </c>
      <c r="I10" s="81"/>
      <c r="J10" s="60" t="s">
        <v>85</v>
      </c>
      <c r="K10" s="82"/>
      <c r="L10" s="83">
        <v>6.4000000000000003E-3</v>
      </c>
      <c r="M10" s="83">
        <v>2E-3</v>
      </c>
      <c r="N10" s="83">
        <v>2.5999999999999999E-3</v>
      </c>
      <c r="O10" s="83">
        <v>3.3999999999999998E-3</v>
      </c>
      <c r="P10" s="83">
        <v>6.4999999999999997E-3</v>
      </c>
      <c r="Q10" s="83"/>
      <c r="R10" s="83"/>
      <c r="S10" s="83"/>
      <c r="T10" s="62">
        <f>MIN(L10:P10)</f>
        <v>2E-3</v>
      </c>
      <c r="U10" s="62">
        <f>MEDIAN(L10:P10)</f>
        <v>3.3999999999999998E-3</v>
      </c>
      <c r="V10" s="62">
        <f>MAX(L10:P10)</f>
        <v>6.4999999999999997E-3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f>H7/H6</f>
        <v>1.2881481481481483</v>
      </c>
      <c r="I11" s="81"/>
    </row>
    <row r="12" spans="2:22" ht="16.5" customHeight="1" x14ac:dyDescent="0.3">
      <c r="B12" s="2"/>
      <c r="C12" s="50"/>
      <c r="D12" s="50"/>
      <c r="I12" s="81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1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 t="s">
        <v>92</v>
      </c>
      <c r="C15" s="29">
        <v>0</v>
      </c>
      <c r="D15" s="36"/>
      <c r="E15" s="30">
        <v>97.83</v>
      </c>
      <c r="F15" s="36"/>
      <c r="G15" s="30">
        <v>98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 t="s">
        <v>93</v>
      </c>
      <c r="C16" s="29">
        <v>21.88</v>
      </c>
      <c r="D16" s="36"/>
      <c r="E16" s="30">
        <v>97.71</v>
      </c>
      <c r="F16" s="36"/>
      <c r="G16" s="30">
        <v>97.86</v>
      </c>
      <c r="H16" s="36"/>
      <c r="I16" s="30"/>
      <c r="J16" s="36"/>
      <c r="K16" s="30"/>
      <c r="L16" s="11">
        <f t="shared" ref="L16:L29" si="0">C16-C15</f>
        <v>21.88</v>
      </c>
      <c r="M16" s="30">
        <f t="shared" ref="M16:M29" si="1">-(G16-G15)</f>
        <v>0.14000000000000057</v>
      </c>
      <c r="N16" s="87">
        <f>M16/L16</f>
        <v>6.3985374771481068E-3</v>
      </c>
      <c r="O16" s="88"/>
      <c r="P16" s="88"/>
    </row>
    <row r="17" spans="2:16" ht="16.5" customHeight="1" x14ac:dyDescent="0.3">
      <c r="B17" s="56"/>
      <c r="C17" s="29">
        <v>28.34</v>
      </c>
      <c r="D17" s="36"/>
      <c r="E17" s="30">
        <v>97.31</v>
      </c>
      <c r="F17" s="36"/>
      <c r="G17" s="30"/>
      <c r="H17" s="36"/>
      <c r="I17" s="30"/>
      <c r="J17" s="36"/>
      <c r="K17" s="30"/>
      <c r="L17" s="11">
        <f t="shared" si="0"/>
        <v>6.4600000000000009</v>
      </c>
      <c r="M17" s="30">
        <f t="shared" si="1"/>
        <v>97.86</v>
      </c>
      <c r="N17" s="87">
        <f t="shared" ref="N17:N27" si="2">M17/L17</f>
        <v>15.148606811145509</v>
      </c>
      <c r="O17" s="88"/>
      <c r="P17" s="88"/>
    </row>
    <row r="18" spans="2:16" ht="16.5" customHeight="1" x14ac:dyDescent="0.3">
      <c r="B18" s="56" t="s">
        <v>92</v>
      </c>
      <c r="C18" s="29">
        <v>33.19</v>
      </c>
      <c r="D18" s="36"/>
      <c r="E18" s="30">
        <v>97.62</v>
      </c>
      <c r="F18" s="36"/>
      <c r="G18" s="30">
        <v>97.82</v>
      </c>
      <c r="H18" s="36"/>
      <c r="I18" s="30"/>
      <c r="J18" s="36"/>
      <c r="K18" s="30"/>
      <c r="L18" s="11">
        <f t="shared" si="0"/>
        <v>4.8499999999999979</v>
      </c>
      <c r="M18" s="30">
        <f t="shared" si="1"/>
        <v>-97.82</v>
      </c>
      <c r="N18" s="87">
        <f t="shared" si="2"/>
        <v>-20.16907216494846</v>
      </c>
      <c r="O18" s="88"/>
      <c r="P18" s="88"/>
    </row>
    <row r="19" spans="2:16" ht="16.5" customHeight="1" x14ac:dyDescent="0.3">
      <c r="B19" s="56" t="s">
        <v>93</v>
      </c>
      <c r="C19" s="29">
        <v>52.92</v>
      </c>
      <c r="D19" s="36"/>
      <c r="E19" s="30">
        <v>97.54</v>
      </c>
      <c r="F19" s="36"/>
      <c r="G19" s="30">
        <v>97.78</v>
      </c>
      <c r="H19" s="36"/>
      <c r="I19" s="30"/>
      <c r="J19" s="36"/>
      <c r="K19" s="30"/>
      <c r="L19" s="11">
        <f t="shared" si="0"/>
        <v>19.730000000000004</v>
      </c>
      <c r="M19" s="30">
        <f t="shared" si="1"/>
        <v>3.9999999999992042E-2</v>
      </c>
      <c r="N19" s="87">
        <f t="shared" si="2"/>
        <v>2.0273694880888005E-3</v>
      </c>
      <c r="O19" s="88"/>
      <c r="P19" s="88"/>
    </row>
    <row r="20" spans="2:16" ht="16.5" customHeight="1" x14ac:dyDescent="0.3">
      <c r="B20" s="56"/>
      <c r="C20" s="29">
        <v>61.32</v>
      </c>
      <c r="D20" s="36"/>
      <c r="E20" s="30">
        <v>97.29</v>
      </c>
      <c r="F20" s="36"/>
      <c r="G20" s="30">
        <v>97.74</v>
      </c>
      <c r="H20" s="36"/>
      <c r="I20" s="30"/>
      <c r="J20" s="36"/>
      <c r="K20" s="30"/>
      <c r="L20" s="11">
        <f t="shared" si="0"/>
        <v>8.3999999999999986</v>
      </c>
      <c r="M20" s="30">
        <f t="shared" si="1"/>
        <v>4.0000000000006253E-2</v>
      </c>
      <c r="N20" s="87">
        <f t="shared" si="2"/>
        <v>4.7619047619055074E-3</v>
      </c>
      <c r="O20" s="88"/>
      <c r="P20" s="88"/>
    </row>
    <row r="21" spans="2:16" ht="16.5" customHeight="1" x14ac:dyDescent="0.3">
      <c r="B21" s="56" t="s">
        <v>92</v>
      </c>
      <c r="C21" s="29">
        <v>73.069999999999993</v>
      </c>
      <c r="D21" s="36"/>
      <c r="E21" s="30">
        <v>97.51</v>
      </c>
      <c r="F21" s="36"/>
      <c r="G21" s="30">
        <v>97.7</v>
      </c>
      <c r="H21" s="36"/>
      <c r="I21" s="30"/>
      <c r="J21" s="36"/>
      <c r="K21" s="30"/>
      <c r="L21" s="11">
        <f t="shared" si="0"/>
        <v>11.749999999999993</v>
      </c>
      <c r="M21" s="30">
        <f t="shared" si="1"/>
        <v>3.9999999999992042E-2</v>
      </c>
      <c r="N21" s="87">
        <f t="shared" si="2"/>
        <v>3.4042553191482609E-3</v>
      </c>
      <c r="O21" s="88"/>
      <c r="P21" s="88"/>
    </row>
    <row r="22" spans="2:16" ht="16.5" customHeight="1" x14ac:dyDescent="0.3">
      <c r="B22" s="56" t="s">
        <v>93</v>
      </c>
      <c r="C22" s="29">
        <v>96.34</v>
      </c>
      <c r="D22" s="36"/>
      <c r="E22" s="30">
        <v>97.54</v>
      </c>
      <c r="F22" s="36"/>
      <c r="G22" s="30">
        <v>97.64</v>
      </c>
      <c r="H22" s="36"/>
      <c r="I22" s="30"/>
      <c r="J22" s="36"/>
      <c r="K22" s="30"/>
      <c r="L22" s="11">
        <f t="shared" si="0"/>
        <v>23.27000000000001</v>
      </c>
      <c r="M22" s="30">
        <f t="shared" si="1"/>
        <v>6.0000000000002274E-2</v>
      </c>
      <c r="N22" s="87">
        <f t="shared" si="2"/>
        <v>2.5784271594328427E-3</v>
      </c>
      <c r="O22" s="88"/>
      <c r="P22" s="88"/>
    </row>
    <row r="23" spans="2:16" ht="16.5" customHeight="1" x14ac:dyDescent="0.3">
      <c r="B23" s="56"/>
      <c r="C23" s="29">
        <v>102.87</v>
      </c>
      <c r="D23" s="36"/>
      <c r="E23" s="30">
        <v>97.16</v>
      </c>
      <c r="F23" s="36"/>
      <c r="G23" s="30"/>
      <c r="H23" s="36"/>
      <c r="I23" s="30"/>
      <c r="J23" s="36"/>
      <c r="K23" s="30"/>
      <c r="L23" s="11">
        <f>C23-C22</f>
        <v>6.5300000000000011</v>
      </c>
      <c r="M23" s="30">
        <f t="shared" si="1"/>
        <v>97.64</v>
      </c>
      <c r="N23" s="87">
        <f t="shared" si="2"/>
        <v>14.95252679938744</v>
      </c>
      <c r="O23" s="88"/>
      <c r="P23" s="88"/>
    </row>
    <row r="24" spans="2:16" ht="16.5" customHeight="1" x14ac:dyDescent="0.3">
      <c r="B24" s="56"/>
      <c r="C24" s="29">
        <v>113.17</v>
      </c>
      <c r="D24" s="36"/>
      <c r="E24" s="30">
        <v>97.06</v>
      </c>
      <c r="F24" s="36"/>
      <c r="G24" s="30">
        <v>97.6</v>
      </c>
      <c r="H24" s="36"/>
      <c r="I24" s="30"/>
      <c r="J24" s="36"/>
      <c r="K24" s="30"/>
      <c r="L24" s="11">
        <f t="shared" si="0"/>
        <v>10.299999999999997</v>
      </c>
      <c r="M24" s="30">
        <f t="shared" si="1"/>
        <v>-97.6</v>
      </c>
      <c r="N24" s="87">
        <f t="shared" si="2"/>
        <v>-9.4757281553398087</v>
      </c>
      <c r="O24" s="88"/>
      <c r="P24" s="88"/>
    </row>
    <row r="25" spans="2:16" ht="16.5" customHeight="1" x14ac:dyDescent="0.3">
      <c r="B25" s="56"/>
      <c r="C25" s="29">
        <v>127.22</v>
      </c>
      <c r="D25" s="36"/>
      <c r="E25" s="30">
        <v>96.99</v>
      </c>
      <c r="F25" s="36"/>
      <c r="G25" s="30"/>
      <c r="H25" s="36"/>
      <c r="I25" s="30"/>
      <c r="J25" s="36"/>
      <c r="K25" s="30"/>
      <c r="L25" s="11">
        <f t="shared" si="0"/>
        <v>14.049999999999997</v>
      </c>
      <c r="M25" s="30">
        <f t="shared" si="1"/>
        <v>97.6</v>
      </c>
      <c r="N25" s="87">
        <f t="shared" si="2"/>
        <v>6.9466192170818513</v>
      </c>
      <c r="O25" s="88"/>
      <c r="P25" s="88"/>
    </row>
    <row r="26" spans="2:16" ht="16.5" customHeight="1" x14ac:dyDescent="0.3">
      <c r="B26" s="56" t="s">
        <v>92</v>
      </c>
      <c r="C26" s="29">
        <v>137.30000000000001</v>
      </c>
      <c r="D26" s="36"/>
      <c r="E26" s="30">
        <v>97.31</v>
      </c>
      <c r="F26" s="36"/>
      <c r="G26" s="30">
        <v>97.57</v>
      </c>
      <c r="H26" s="36"/>
      <c r="I26" s="30"/>
      <c r="J26" s="36"/>
      <c r="K26" s="30"/>
      <c r="L26" s="11">
        <f t="shared" si="0"/>
        <v>10.080000000000013</v>
      </c>
      <c r="M26" s="30">
        <f t="shared" si="1"/>
        <v>-97.57</v>
      </c>
      <c r="N26" s="87">
        <f t="shared" si="2"/>
        <v>-9.6795634920634797</v>
      </c>
      <c r="O26" s="88"/>
      <c r="P26" s="88"/>
    </row>
    <row r="27" spans="2:16" ht="16.5" customHeight="1" x14ac:dyDescent="0.3">
      <c r="B27" s="56"/>
      <c r="C27" s="29">
        <v>146.68</v>
      </c>
      <c r="D27" s="36"/>
      <c r="E27" s="30">
        <v>97.24</v>
      </c>
      <c r="F27" s="36"/>
      <c r="G27" s="30"/>
      <c r="H27" s="36"/>
      <c r="I27" s="30"/>
      <c r="J27" s="36"/>
      <c r="K27" s="30"/>
      <c r="L27" s="11">
        <f t="shared" si="0"/>
        <v>9.3799999999999955</v>
      </c>
      <c r="M27" s="30">
        <f t="shared" si="1"/>
        <v>97.57</v>
      </c>
      <c r="N27" s="87">
        <f t="shared" si="2"/>
        <v>10.401918976545847</v>
      </c>
      <c r="O27" s="88"/>
      <c r="P27" s="88"/>
    </row>
    <row r="28" spans="2:16" ht="16.5" customHeight="1" x14ac:dyDescent="0.3">
      <c r="B28" s="56" t="s">
        <v>93</v>
      </c>
      <c r="C28" s="29">
        <v>152.21</v>
      </c>
      <c r="D28" s="36"/>
      <c r="E28" s="30">
        <v>97.12</v>
      </c>
      <c r="F28" s="36"/>
      <c r="G28" s="30">
        <v>97.52</v>
      </c>
      <c r="H28" s="36"/>
      <c r="I28" s="30"/>
      <c r="J28" s="36"/>
      <c r="K28" s="30"/>
      <c r="L28" s="11">
        <f t="shared" si="0"/>
        <v>5.5300000000000011</v>
      </c>
      <c r="M28" s="30">
        <f t="shared" si="1"/>
        <v>-97.52</v>
      </c>
      <c r="N28" s="87">
        <f t="shared" ref="N28:N29" si="3">M28/L28</f>
        <v>-17.634719710669074</v>
      </c>
      <c r="O28" s="88"/>
      <c r="P28" s="88"/>
    </row>
    <row r="29" spans="2:16" ht="16.5" customHeight="1" x14ac:dyDescent="0.3">
      <c r="B29" s="56"/>
      <c r="C29" s="29">
        <v>157.09</v>
      </c>
      <c r="D29" s="36"/>
      <c r="E29" s="30">
        <v>96.96</v>
      </c>
      <c r="F29" s="36"/>
      <c r="G29" s="30"/>
      <c r="H29" s="36"/>
      <c r="I29" s="30"/>
      <c r="J29" s="36"/>
      <c r="K29" s="30"/>
      <c r="L29" s="11">
        <f t="shared" si="0"/>
        <v>4.8799999999999955</v>
      </c>
      <c r="M29" s="30">
        <f t="shared" si="1"/>
        <v>97.52</v>
      </c>
      <c r="N29" s="87">
        <f t="shared" si="3"/>
        <v>19.983606557377065</v>
      </c>
      <c r="O29" s="88"/>
      <c r="P29" s="88"/>
    </row>
    <row r="30" spans="2:16" ht="16.5" customHeight="1" x14ac:dyDescent="0.3">
      <c r="B30" s="56"/>
      <c r="C30" s="29">
        <v>163.16</v>
      </c>
      <c r="D30" s="36"/>
      <c r="E30" s="30">
        <v>97.24</v>
      </c>
      <c r="F30" s="36"/>
      <c r="G30" s="30">
        <v>97.51</v>
      </c>
      <c r="H30" s="36"/>
      <c r="I30" s="30"/>
      <c r="J30" s="36"/>
      <c r="K30" s="30"/>
      <c r="L30" s="11">
        <f t="shared" ref="L30" si="4">C30-C29</f>
        <v>6.0699999999999932</v>
      </c>
      <c r="M30" s="30">
        <f t="shared" ref="M30" si="5">-(G30-G29)</f>
        <v>-97.51</v>
      </c>
      <c r="N30" s="87">
        <f t="shared" ref="N30" si="6">M30/L30</f>
        <v>-16.064250411861632</v>
      </c>
      <c r="O30" s="88"/>
      <c r="P30" s="88"/>
    </row>
    <row r="31" spans="2:16" ht="16.5" customHeight="1" x14ac:dyDescent="0.3">
      <c r="B31" s="56" t="s">
        <v>92</v>
      </c>
      <c r="C31" s="29">
        <v>173.86</v>
      </c>
      <c r="D31" s="36"/>
      <c r="E31" s="30">
        <v>97.32</v>
      </c>
      <c r="F31" s="36"/>
      <c r="G31" s="30">
        <v>97.45</v>
      </c>
      <c r="H31" s="36"/>
      <c r="I31" s="30"/>
      <c r="J31" s="36"/>
      <c r="K31" s="30"/>
      <c r="L31" s="11">
        <f t="shared" ref="L31:L33" si="7">C31-C30</f>
        <v>10.700000000000017</v>
      </c>
      <c r="M31" s="30">
        <f t="shared" ref="M31:M33" si="8">-(G31-G30)</f>
        <v>6.0000000000002274E-2</v>
      </c>
      <c r="N31" s="87">
        <f t="shared" ref="N31:N33" si="9">M31/L31</f>
        <v>5.6074766355142221E-3</v>
      </c>
      <c r="O31" s="88"/>
      <c r="P31" s="88"/>
    </row>
    <row r="32" spans="2:16" ht="16.5" customHeight="1" x14ac:dyDescent="0.3">
      <c r="B32" s="56" t="s">
        <v>93</v>
      </c>
      <c r="C32" s="29">
        <v>187.65</v>
      </c>
      <c r="D32" s="36"/>
      <c r="E32" s="30">
        <v>97.23</v>
      </c>
      <c r="F32" s="36"/>
      <c r="G32" s="30">
        <v>97.36</v>
      </c>
      <c r="H32" s="36"/>
      <c r="I32" s="30"/>
      <c r="J32" s="36"/>
      <c r="K32" s="30"/>
      <c r="L32" s="11">
        <f t="shared" si="7"/>
        <v>13.789999999999992</v>
      </c>
      <c r="M32" s="30">
        <f t="shared" si="8"/>
        <v>9.0000000000003411E-2</v>
      </c>
      <c r="N32" s="87">
        <f t="shared" si="9"/>
        <v>6.526468455402717E-3</v>
      </c>
      <c r="O32" s="88"/>
      <c r="P32" s="88"/>
    </row>
    <row r="33" spans="2:16" ht="16.5" customHeight="1" x14ac:dyDescent="0.3">
      <c r="B33" s="56"/>
      <c r="C33" s="29">
        <v>205.82</v>
      </c>
      <c r="D33" s="36"/>
      <c r="E33" s="30">
        <v>96.59</v>
      </c>
      <c r="F33" s="36"/>
      <c r="G33" s="30">
        <v>97.36</v>
      </c>
      <c r="H33" s="36"/>
      <c r="I33" s="30"/>
      <c r="J33" s="36"/>
      <c r="K33" s="30"/>
      <c r="L33" s="11">
        <f t="shared" si="7"/>
        <v>18.169999999999987</v>
      </c>
      <c r="M33" s="30">
        <f t="shared" si="8"/>
        <v>0</v>
      </c>
      <c r="N33" s="87">
        <f t="shared" si="9"/>
        <v>0</v>
      </c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F9" sqref="F9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104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86</v>
      </c>
      <c r="C7" s="102">
        <v>89</v>
      </c>
      <c r="D7" s="102">
        <v>87</v>
      </c>
      <c r="E7" s="102">
        <v>95</v>
      </c>
      <c r="F7" s="102"/>
      <c r="G7" s="102"/>
      <c r="H7" s="13">
        <f>MIN(C7:G7)</f>
        <v>87</v>
      </c>
      <c r="I7" s="13">
        <f>MEDIAN(C7:G7)</f>
        <v>89</v>
      </c>
      <c r="J7" s="13">
        <f>MAX(C7:G7)</f>
        <v>95</v>
      </c>
    </row>
    <row r="8" spans="2:10" ht="16.5" customHeight="1" x14ac:dyDescent="0.25">
      <c r="B8" s="40" t="s">
        <v>26</v>
      </c>
      <c r="C8" s="102">
        <v>46</v>
      </c>
      <c r="D8" s="102">
        <v>31</v>
      </c>
      <c r="E8" s="102">
        <v>44</v>
      </c>
      <c r="F8" s="102"/>
      <c r="G8" s="102"/>
      <c r="H8" s="13">
        <f>MIN(C8:G8)</f>
        <v>31</v>
      </c>
      <c r="I8" s="13">
        <f>MEDIAN(C8:G8)</f>
        <v>44</v>
      </c>
      <c r="J8" s="13">
        <f>MAX(C8:G8)</f>
        <v>46</v>
      </c>
    </row>
    <row r="9" spans="2:10" ht="16.5" customHeight="1" x14ac:dyDescent="0.25">
      <c r="B9" s="40" t="s">
        <v>87</v>
      </c>
      <c r="C9" s="102">
        <v>27</v>
      </c>
      <c r="D9" s="102">
        <v>47</v>
      </c>
      <c r="E9" s="102">
        <v>34</v>
      </c>
      <c r="F9" s="102"/>
      <c r="G9" s="102"/>
      <c r="H9" s="13">
        <f>MIN(C9:G9)</f>
        <v>27</v>
      </c>
      <c r="I9" s="13">
        <f>MEDIAN(C9:G9)</f>
        <v>34</v>
      </c>
      <c r="J9" s="13">
        <f>MAX(C9:G9)</f>
        <v>47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