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29" i="81" l="1"/>
  <c r="K31" i="81"/>
  <c r="G15" i="81" s="1"/>
  <c r="C23" i="73" s="1"/>
  <c r="K40" i="81"/>
  <c r="G12" i="81"/>
  <c r="G14" i="81"/>
  <c r="C22" i="73" s="1"/>
  <c r="L30" i="70"/>
  <c r="L23" i="70"/>
  <c r="M30" i="70"/>
  <c r="N30" i="70"/>
  <c r="U8" i="70"/>
  <c r="D41" i="73"/>
  <c r="C20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E42" i="73" s="1"/>
  <c r="D23" i="73"/>
  <c r="E23" i="73"/>
  <c r="D34" i="73"/>
  <c r="E36" i="73"/>
  <c r="E46" i="73"/>
  <c r="D42" i="73"/>
  <c r="E44" i="73"/>
  <c r="D44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D48" i="73" l="1"/>
  <c r="C48" i="73"/>
  <c r="H30" i="81"/>
  <c r="G32" i="81"/>
  <c r="F34" i="81"/>
  <c r="F37" i="81"/>
  <c r="F39" i="81"/>
  <c r="G31" i="81"/>
  <c r="G33" i="81"/>
  <c r="F38" i="81"/>
  <c r="F32" i="81"/>
  <c r="G35" i="81"/>
  <c r="F31" i="81"/>
  <c r="F33" i="81"/>
  <c r="G34" i="81"/>
  <c r="G37" i="81"/>
  <c r="G39" i="81"/>
  <c r="F30" i="81"/>
  <c r="F35" i="81"/>
  <c r="H39" i="81"/>
  <c r="G30" i="81"/>
  <c r="G38" i="81"/>
  <c r="E34" i="73"/>
  <c r="C38" i="73"/>
  <c r="C42" i="73"/>
  <c r="D46" i="73"/>
  <c r="C34" i="73"/>
  <c r="C46" i="73"/>
  <c r="C36" i="73"/>
  <c r="E38" i="73"/>
  <c r="G36" i="81"/>
  <c r="F36" i="81"/>
  <c r="D36" i="73"/>
  <c r="C44" i="73"/>
  <c r="D38" i="73"/>
  <c r="G7" i="81"/>
  <c r="C15" i="73" s="1"/>
  <c r="H38" i="81" l="1"/>
  <c r="H37" i="81"/>
  <c r="H33" i="81"/>
  <c r="H34" i="81"/>
  <c r="H32" i="81"/>
  <c r="H35" i="81"/>
  <c r="H31" i="81"/>
  <c r="H36" i="81"/>
  <c r="K34" i="81"/>
  <c r="K37" i="81" s="1"/>
  <c r="G13" i="81" s="1"/>
  <c r="C21" i="73" s="1"/>
  <c r="K30" i="81" l="1"/>
  <c r="K32" i="81" s="1"/>
  <c r="K33" i="81" s="1"/>
  <c r="G9" i="81" s="1"/>
  <c r="C17" i="73" s="1"/>
  <c r="G10" i="81"/>
  <c r="C18" i="73" s="1"/>
  <c r="G6" i="81" l="1"/>
  <c r="C14" i="73" s="1"/>
  <c r="G8" i="81"/>
  <c r="C16" i="73" s="1"/>
  <c r="K42" i="81"/>
  <c r="K43" i="81" s="1"/>
  <c r="K44" i="81" s="1"/>
  <c r="K35" i="81"/>
  <c r="G11" i="81" s="1"/>
  <c r="C19" i="73" s="1"/>
  <c r="K46" i="81" l="1"/>
  <c r="K48" i="81" s="1"/>
  <c r="G22" i="81" s="1"/>
  <c r="C29" i="73" s="1"/>
  <c r="G18" i="81"/>
  <c r="C25" i="73" s="1"/>
  <c r="K45" i="81"/>
  <c r="G19" i="81" s="1"/>
  <c r="C26" i="73" s="1"/>
  <c r="K49" i="81" l="1"/>
  <c r="G23" i="81" s="1"/>
  <c r="C30" i="73" s="1"/>
  <c r="G20" i="81"/>
  <c r="C27" i="73" s="1"/>
  <c r="K47" i="8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<sst xmlns="http://schemas.openxmlformats.org/spreadsheetml/2006/main" count="172" uniqueCount="111">
  <si>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</si>
  <si>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</si>
  <si>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</si>
  <si>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</si>
  <si>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</si>
  <si>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</si>
  <si>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</si>
  <si>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</si>
  <si>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</si>
  <si>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</si>
  <si>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</si>
  <si>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</si>
  <si>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</si>
  <si>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</si>
  <si>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</si>
  <si>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</si>
  <si>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</si>
  <si>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</si>
  <si>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</si>
  <si>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</si>
  <si>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</si>
  <si>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</si>
  <si>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</si>
  <si>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</si>
  <si>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</si>
  <si>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</si>
  <si>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</si>
  <si>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</si>
  <si>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</si>
  <si>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</si>
  <si>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</si>
  <si>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</si>
  <si>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</si>
  <si>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</si>
  <si>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</si>
  <si>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</si>
  <si>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</si>
  <si>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</si>
  <si>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</si>
  <si>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</si>
  <si>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</si>
  <si>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</si>
  <si>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</si>
  <si>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</si>
  <si>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</si>
  <si>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</si>
  <si>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</si>
  <si>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</si>
  <si>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</si>
  <si>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</si>
  <si>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</si>
  <si>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</si>
  <si>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</si>
  <si>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</si>
  <si>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</si>
  <si>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</si>
  <si>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</si>
  <si>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</si>
  <si>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</si>
  <si>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</si>
  <si>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</si>
  <si>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</si>
  <si>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</si>
  <si>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</si>
  <si>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</si>
  <si>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</si>
  <si>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</si>
  <si>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</si>
  <si>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</si>
  <si>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</si>
  <si>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</si>
  <si>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</si>
  <si>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</si>
  <si>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</si>
  <si>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</si>
  <si>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</si>
  <si>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</si>
  <si>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</si>
  <si>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</si>
  <si>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</si>
  <si>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</si>
  <si>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</si>
  <si>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</si>
  <si>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</si>
  <si>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</si>
  <si>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</si>
  <si>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</si>
  <si>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</si>
  <si>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</si>
  <si>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</si>
  <si>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</si>
  <si>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</si>
  <si>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</si>
  <si>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</si>
  <si>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</si>
  <si>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</si>
  <si>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</si>
  <si>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</si>
  <si>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</si>
  <si>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</si>
  <si>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</si>
  <si>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</si>
  <si>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</si>
  <si>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</si>
  <si>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Black Creek, USGS gage</t>
  </si>
  <si>
    <t>34.663060, -80.211803</t>
  </si>
  <si>
    <t>Black Creek</t>
  </si>
  <si>
    <t>sand</t>
  </si>
  <si>
    <t>&gt;10.0</t>
  </si>
  <si>
    <t>&gt;353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</si>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</sst>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8.09</c:v>
                </c:pt>
                <c:pt idx="2">
                  <c:v>14.22</c:v>
                </c:pt>
                <c:pt idx="3">
                  <c:v>15.73</c:v>
                </c:pt>
                <c:pt idx="4">
                  <c:v>17.47</c:v>
                </c:pt>
                <c:pt idx="5">
                  <c:v>18.010000000000002</c:v>
                </c:pt>
                <c:pt idx="6">
                  <c:v>35.82</c:v>
                </c:pt>
                <c:pt idx="7">
                  <c:v>41.66</c:v>
                </c:pt>
                <c:pt idx="8">
                  <c:v>45.69</c:v>
                </c:pt>
                <c:pt idx="9">
                  <c:v>49.5</c:v>
                </c:pt>
                <c:pt idx="10">
                  <c:v>50.94</c:v>
                </c:pt>
                <c:pt idx="11">
                  <c:v>78.14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100.16</c:v>
                </c:pt>
                <c:pt idx="1">
                  <c:v>100.23</c:v>
                </c:pt>
                <c:pt idx="2">
                  <c:v>99.28</c:v>
                </c:pt>
                <c:pt idx="3">
                  <c:v>98.19</c:v>
                </c:pt>
                <c:pt idx="4">
                  <c:v>97.29</c:v>
                </c:pt>
                <c:pt idx="5">
                  <c:v>93.84</c:v>
                </c:pt>
                <c:pt idx="6">
                  <c:v>93.67</c:v>
                </c:pt>
                <c:pt idx="7">
                  <c:v>94.75</c:v>
                </c:pt>
                <c:pt idx="8">
                  <c:v>96.36</c:v>
                </c:pt>
                <c:pt idx="9">
                  <c:v>99.28</c:v>
                </c:pt>
                <c:pt idx="10">
                  <c:v>100.33</c:v>
                </c:pt>
                <c:pt idx="11">
                  <c:v>99.2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467904"/>
        <c:axId val="340471432"/>
      </c:scatterChart>
      <c:valAx>
        <c:axId val="34046790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0471432"/>
        <c:crosses val="autoZero"/>
        <c:crossBetween val="midCat"/>
      </c:valAx>
      <c:valAx>
        <c:axId val="3404714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0467904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471824"/>
        <c:axId val="34046947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40471824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0469472"/>
        <c:crosses val="autoZero"/>
        <c:crossBetween val="midCat"/>
        <c:minorUnit val="25"/>
      </c:valAx>
      <c:valAx>
        <c:axId val="34046947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40471824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9" sqref="B9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43857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33" t="s">
        <v>50</v>
      </c>
      <c r="D5" s="133"/>
      <c r="E5" s="133"/>
    </row>
    <row r="6" spans="2:5" ht="16.95" customHeight="1" thickTop="1" x14ac:dyDescent="0.25">
      <c r="B6" s="15" t="s">
        <v>60</v>
      </c>
      <c r="C6" s="134" t="s">
        <v>106</v>
      </c>
      <c r="D6" s="135"/>
      <c r="E6" s="136"/>
    </row>
    <row r="7" spans="2:5" ht="16.95" customHeight="1" x14ac:dyDescent="0.25">
      <c r="B7" s="15" t="s">
        <v>59</v>
      </c>
      <c r="C7" s="137" t="s">
        <v>110</v>
      </c>
      <c r="D7" s="138"/>
      <c r="E7" s="139"/>
    </row>
    <row r="8" spans="2:5" ht="16.95" customHeight="1" x14ac:dyDescent="0.25">
      <c r="B8" s="15" t="s">
        <v>21</v>
      </c>
      <c r="C8" s="140">
        <v>51.9</v>
      </c>
      <c r="D8" s="141"/>
      <c r="E8" s="142"/>
    </row>
    <row r="9" spans="2:5" ht="16.95" customHeight="1" x14ac:dyDescent="0.25">
      <c r="B9" s="15" t="s">
        <v>89</v>
      </c>
      <c r="C9" s="140" t="s">
        <v>107</v>
      </c>
      <c r="D9" s="141"/>
      <c r="E9" s="142"/>
    </row>
    <row r="10" spans="2:5" ht="16.95" customHeight="1" x14ac:dyDescent="0.25">
      <c r="B10" s="15" t="s">
        <v>52</v>
      </c>
      <c r="C10" s="146">
        <f>'Longitudinal Profile'!H9</f>
        <v>3.8865137971239797E-4</v>
      </c>
      <c r="D10" s="147"/>
      <c r="E10" s="148"/>
    </row>
    <row r="11" spans="2:5" ht="16.95" customHeight="1" x14ac:dyDescent="0.25">
      <c r="B11" s="15" t="s">
        <v>53</v>
      </c>
      <c r="C11" s="152">
        <f>'Longitudinal Profile'!H11</f>
        <v>1.31</v>
      </c>
      <c r="D11" s="153"/>
      <c r="E11" s="154"/>
    </row>
    <row r="12" spans="2:5" ht="16.95" customHeight="1" thickBot="1" x14ac:dyDescent="0.3">
      <c r="B12" s="15" t="s">
        <v>23</v>
      </c>
      <c r="C12" s="149">
        <f>'Longitudinal Profile'!H7</f>
        <v>257.3</v>
      </c>
      <c r="D12" s="150"/>
      <c r="E12" s="151"/>
    </row>
    <row r="13" spans="2:5" ht="16.95" customHeight="1" thickTop="1" x14ac:dyDescent="0.25">
      <c r="B13" s="116" t="s">
        <v>17</v>
      </c>
      <c r="C13" s="143" t="s">
        <v>64</v>
      </c>
      <c r="D13" s="144"/>
      <c r="E13" s="145"/>
    </row>
    <row r="14" spans="2:5" ht="16.95" customHeight="1" x14ac:dyDescent="0.25">
      <c r="B14" s="114" t="s">
        <v>71</v>
      </c>
      <c r="C14" s="130">
        <f>'Cross-section'!G6</f>
        <v>154.09204999999997</v>
      </c>
      <c r="D14" s="131"/>
      <c r="E14" s="132"/>
    </row>
    <row r="15" spans="2:5" ht="16.95" customHeight="1" x14ac:dyDescent="0.25">
      <c r="B15" s="40" t="s">
        <v>72</v>
      </c>
      <c r="C15" s="130">
        <f>'Cross-section'!G7</f>
        <v>35.28</v>
      </c>
      <c r="D15" s="131">
        <f>'Cross-section'!H7</f>
        <v>0</v>
      </c>
      <c r="E15" s="132">
        <f>'Cross-section'!I7</f>
        <v>0</v>
      </c>
    </row>
    <row r="16" spans="2:5" ht="16.95" customHeight="1" x14ac:dyDescent="0.25">
      <c r="B16" s="40" t="s">
        <v>73</v>
      </c>
      <c r="C16" s="130">
        <f>'Cross-section'!G8</f>
        <v>4.3676884920634915</v>
      </c>
      <c r="D16" s="131">
        <f>'Cross-section'!H8</f>
        <v>0</v>
      </c>
      <c r="E16" s="132">
        <f>'Cross-section'!I8</f>
        <v>0</v>
      </c>
    </row>
    <row r="17" spans="2:5" ht="16.95" customHeight="1" x14ac:dyDescent="0.25">
      <c r="B17" s="40" t="s">
        <v>74</v>
      </c>
      <c r="C17" s="130">
        <f>'Cross-section'!G9</f>
        <v>8.0774991312011242</v>
      </c>
      <c r="D17" s="131">
        <f>'Cross-section'!H9</f>
        <v>0</v>
      </c>
      <c r="E17" s="132">
        <f>'Cross-section'!I9</f>
        <v>0</v>
      </c>
    </row>
    <row r="18" spans="2:5" ht="16.95" customHeight="1" x14ac:dyDescent="0.25">
      <c r="B18" s="40" t="s">
        <v>75</v>
      </c>
      <c r="C18" s="130">
        <f>'Cross-section'!G10</f>
        <v>5.6099999999999994</v>
      </c>
      <c r="D18" s="131">
        <f>'Cross-section'!H10</f>
        <v>0</v>
      </c>
      <c r="E18" s="132">
        <f>'Cross-section'!I10</f>
        <v>0</v>
      </c>
    </row>
    <row r="19" spans="2:5" ht="16.95" customHeight="1" x14ac:dyDescent="0.25">
      <c r="B19" s="40" t="s">
        <v>76</v>
      </c>
      <c r="C19" s="130">
        <f>'Cross-section'!G11</f>
        <v>1.284432259808342</v>
      </c>
      <c r="D19" s="131">
        <f>'Cross-section'!H11</f>
        <v>0</v>
      </c>
      <c r="E19" s="132">
        <f>'Cross-section'!I11</f>
        <v>0</v>
      </c>
    </row>
    <row r="20" spans="2:5" ht="16.95" customHeight="1" x14ac:dyDescent="0.25">
      <c r="B20" s="40" t="s">
        <v>25</v>
      </c>
      <c r="C20" s="130">
        <f>'Cross-section'!G12</f>
        <v>5.6</v>
      </c>
      <c r="D20" s="131">
        <f>'Cross-section'!H12</f>
        <v>0</v>
      </c>
      <c r="E20" s="132">
        <f>'Cross-section'!I12</f>
        <v>0</v>
      </c>
    </row>
    <row r="21" spans="2:5" ht="16.95" customHeight="1" x14ac:dyDescent="0.25">
      <c r="B21" s="40" t="s">
        <v>77</v>
      </c>
      <c r="C21" s="130">
        <f>'Cross-section'!G13</f>
        <v>0.99821746880570417</v>
      </c>
      <c r="D21" s="131">
        <f>'Cross-section'!H13</f>
        <v>0</v>
      </c>
      <c r="E21" s="132">
        <f>'Cross-section'!I13</f>
        <v>0</v>
      </c>
    </row>
    <row r="22" spans="2:5" ht="16.95" customHeight="1" x14ac:dyDescent="0.25">
      <c r="B22" s="40" t="s">
        <v>78</v>
      </c>
      <c r="C22" s="130" t="str">
        <f>'Cross-section'!G14</f>
        <v>&gt;353</v>
      </c>
      <c r="D22" s="131">
        <f>'Cross-section'!H14</f>
        <v>0</v>
      </c>
      <c r="E22" s="132">
        <f>'Cross-section'!I14</f>
        <v>0</v>
      </c>
    </row>
    <row r="23" spans="2:5" ht="16.95" customHeight="1" thickBot="1" x14ac:dyDescent="0.3">
      <c r="B23" s="115" t="s">
        <v>79</v>
      </c>
      <c r="C23" s="130" t="str">
        <f>'Cross-section'!G15</f>
        <v>&gt;10.0</v>
      </c>
      <c r="D23" s="131">
        <f>'Cross-section'!H15</f>
        <v>0</v>
      </c>
      <c r="E23" s="132">
        <f>'Cross-section'!I15</f>
        <v>0</v>
      </c>
    </row>
    <row r="24" spans="2:5" ht="16.95" customHeight="1" thickTop="1" x14ac:dyDescent="0.25">
      <c r="B24" s="116" t="s">
        <v>17</v>
      </c>
      <c r="C24" s="127" t="s">
        <v>54</v>
      </c>
      <c r="D24" s="128"/>
      <c r="E24" s="129"/>
    </row>
    <row r="25" spans="2:5" ht="16.95" customHeight="1" x14ac:dyDescent="0.25">
      <c r="B25" s="40" t="s">
        <v>80</v>
      </c>
      <c r="C25" s="130">
        <f>'Cross-section'!G18</f>
        <v>165.71862534355463</v>
      </c>
      <c r="D25" s="131">
        <f>'Cross-section'!H18</f>
        <v>0</v>
      </c>
      <c r="E25" s="132">
        <f>'Cross-section'!I18</f>
        <v>0</v>
      </c>
    </row>
    <row r="26" spans="2:5" ht="16.95" customHeight="1" x14ac:dyDescent="0.25">
      <c r="B26" s="40" t="s">
        <v>81</v>
      </c>
      <c r="C26" s="130">
        <f>'Cross-section'!G19</f>
        <v>1.0754521426871448</v>
      </c>
      <c r="D26" s="131">
        <f>'Cross-section'!H19</f>
        <v>0</v>
      </c>
      <c r="E26" s="132">
        <f>'Cross-section'!I19</f>
        <v>0</v>
      </c>
    </row>
    <row r="27" spans="2:5" ht="16.95" customHeight="1" x14ac:dyDescent="0.25">
      <c r="B27" s="40" t="s">
        <v>51</v>
      </c>
      <c r="C27" s="130">
        <f>'Cross-section'!G20</f>
        <v>8.4902525821030125E-2</v>
      </c>
      <c r="D27" s="131">
        <f>'Cross-section'!H20</f>
        <v>0</v>
      </c>
      <c r="E27" s="132">
        <f>'Cross-section'!I20</f>
        <v>0</v>
      </c>
    </row>
    <row r="28" spans="2:5" ht="16.95" customHeight="1" x14ac:dyDescent="0.25">
      <c r="B28" s="40" t="s">
        <v>82</v>
      </c>
      <c r="C28" s="130">
        <f>'Cross-section'!G21</f>
        <v>9.1308603313777492E-2</v>
      </c>
      <c r="D28" s="131">
        <f>'Cross-section'!H21</f>
        <v>0</v>
      </c>
      <c r="E28" s="132">
        <f>'Cross-section'!I21</f>
        <v>0</v>
      </c>
    </row>
    <row r="29" spans="2:5" ht="16.95" customHeight="1" x14ac:dyDescent="0.25">
      <c r="B29" s="15" t="s">
        <v>66</v>
      </c>
      <c r="C29" s="130">
        <f>'Cross-section'!G22</f>
        <v>6.8975297619452576</v>
      </c>
      <c r="D29" s="131">
        <f>'Cross-section'!H22</f>
        <v>0</v>
      </c>
      <c r="E29" s="132">
        <f>'Cross-section'!I22</f>
        <v>0</v>
      </c>
    </row>
    <row r="30" spans="2:5" ht="16.95" customHeight="1" thickBot="1" x14ac:dyDescent="0.3">
      <c r="B30" s="15" t="s">
        <v>67</v>
      </c>
      <c r="C30" s="130">
        <f>'Cross-section'!G23</f>
        <v>20.833266318529255</v>
      </c>
      <c r="D30" s="131">
        <f>'Cross-section'!H23</f>
        <v>0</v>
      </c>
      <c r="E30" s="132">
        <f>'Cross-section'!I23</f>
        <v>0</v>
      </c>
    </row>
    <row r="31" spans="2:5" ht="16.95" customHeight="1" thickTop="1" x14ac:dyDescent="0.25">
      <c r="B31" s="125" t="s">
        <v>17</v>
      </c>
      <c r="C31" s="122" t="s">
        <v>57</v>
      </c>
      <c r="D31" s="123"/>
      <c r="E31" s="124"/>
    </row>
    <row r="32" spans="2:5" ht="16.95" customHeight="1" thickBot="1" x14ac:dyDescent="0.3">
      <c r="B32" s="126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25" t="s">
        <v>17</v>
      </c>
      <c r="C39" s="122" t="s">
        <v>58</v>
      </c>
      <c r="D39" s="123"/>
      <c r="E39" s="124"/>
    </row>
    <row r="40" spans="2:5" ht="16.95" customHeight="1" thickBot="1" x14ac:dyDescent="0.3">
      <c r="B40" s="126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3" sqref="H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58" t="s">
        <v>17</v>
      </c>
      <c r="C5" s="159"/>
      <c r="D5" s="159"/>
      <c r="E5" s="159"/>
      <c r="F5" s="160"/>
      <c r="G5" s="158" t="s">
        <v>64</v>
      </c>
      <c r="H5" s="159"/>
      <c r="I5" s="160"/>
      <c r="K5" s="5"/>
      <c r="L5" s="5"/>
    </row>
    <row r="6" spans="2:12" ht="16.5" customHeight="1" x14ac:dyDescent="0.25">
      <c r="B6" s="155" t="s">
        <v>71</v>
      </c>
      <c r="C6" s="156"/>
      <c r="D6" s="156"/>
      <c r="E6" s="156"/>
      <c r="F6" s="157"/>
      <c r="G6" s="161">
        <f>K30</f>
        <v>154.09204999999997</v>
      </c>
      <c r="H6" s="162"/>
      <c r="I6" s="163"/>
      <c r="K6" s="5"/>
      <c r="L6" s="5"/>
    </row>
    <row r="7" spans="2:12" ht="16.5" customHeight="1" x14ac:dyDescent="0.25">
      <c r="B7" s="155" t="s">
        <v>72</v>
      </c>
      <c r="C7" s="156"/>
      <c r="D7" s="156"/>
      <c r="E7" s="156"/>
      <c r="F7" s="157"/>
      <c r="G7" s="161">
        <f t="shared" ref="G7:G15" si="0">K31</f>
        <v>35.28</v>
      </c>
      <c r="H7" s="162"/>
      <c r="I7" s="163"/>
      <c r="J7" s="12"/>
      <c r="K7" s="5"/>
      <c r="L7" s="5"/>
    </row>
    <row r="8" spans="2:12" ht="16.5" customHeight="1" x14ac:dyDescent="0.25">
      <c r="B8" s="155" t="s">
        <v>73</v>
      </c>
      <c r="C8" s="156"/>
      <c r="D8" s="156"/>
      <c r="E8" s="156"/>
      <c r="F8" s="157"/>
      <c r="G8" s="161">
        <f t="shared" si="0"/>
        <v>4.3676884920634915</v>
      </c>
      <c r="H8" s="162"/>
      <c r="I8" s="163"/>
      <c r="J8" s="12"/>
      <c r="K8" s="5"/>
      <c r="L8" s="5"/>
    </row>
    <row r="9" spans="2:12" ht="16.5" customHeight="1" x14ac:dyDescent="0.25">
      <c r="B9" s="155" t="s">
        <v>74</v>
      </c>
      <c r="C9" s="156"/>
      <c r="D9" s="156"/>
      <c r="E9" s="156"/>
      <c r="F9" s="157"/>
      <c r="G9" s="161">
        <f t="shared" si="0"/>
        <v>8.0774991312011242</v>
      </c>
      <c r="H9" s="162"/>
      <c r="I9" s="163"/>
      <c r="J9" s="12"/>
      <c r="K9" s="5"/>
      <c r="L9" s="5"/>
    </row>
    <row r="10" spans="2:12" ht="16.5" customHeight="1" x14ac:dyDescent="0.25">
      <c r="B10" s="155" t="s">
        <v>75</v>
      </c>
      <c r="C10" s="156"/>
      <c r="D10" s="156"/>
      <c r="E10" s="156"/>
      <c r="F10" s="157"/>
      <c r="G10" s="161">
        <f t="shared" si="0"/>
        <v>5.6099999999999994</v>
      </c>
      <c r="H10" s="162"/>
      <c r="I10" s="163"/>
      <c r="J10" s="12"/>
      <c r="K10" s="5"/>
      <c r="L10" s="5"/>
    </row>
    <row r="11" spans="2:12" ht="16.5" customHeight="1" x14ac:dyDescent="0.25">
      <c r="B11" s="155" t="s">
        <v>76</v>
      </c>
      <c r="C11" s="156"/>
      <c r="D11" s="156"/>
      <c r="E11" s="156"/>
      <c r="F11" s="157"/>
      <c r="G11" s="161">
        <f t="shared" si="0"/>
        <v>1.284432259808342</v>
      </c>
      <c r="H11" s="162"/>
      <c r="I11" s="163"/>
      <c r="J11" s="12"/>
      <c r="K11" s="5"/>
      <c r="L11" s="5"/>
    </row>
    <row r="12" spans="2:12" ht="16.5" customHeight="1" x14ac:dyDescent="0.25">
      <c r="B12" s="167" t="s">
        <v>25</v>
      </c>
      <c r="C12" s="168"/>
      <c r="D12" s="168"/>
      <c r="E12" s="168"/>
      <c r="F12" s="169"/>
      <c r="G12" s="161">
        <f t="shared" si="0"/>
        <v>5.6</v>
      </c>
      <c r="H12" s="162"/>
      <c r="I12" s="163"/>
      <c r="J12" s="12"/>
      <c r="K12" s="5"/>
      <c r="L12" s="5"/>
    </row>
    <row r="13" spans="2:12" ht="16.5" customHeight="1" x14ac:dyDescent="0.25">
      <c r="B13" s="167" t="s">
        <v>77</v>
      </c>
      <c r="C13" s="168"/>
      <c r="D13" s="168"/>
      <c r="E13" s="168"/>
      <c r="F13" s="169"/>
      <c r="G13" s="161">
        <f t="shared" si="0"/>
        <v>0.99821746880570417</v>
      </c>
      <c r="H13" s="162"/>
      <c r="I13" s="163"/>
      <c r="J13" s="12"/>
      <c r="K13" s="5"/>
      <c r="L13" s="5"/>
    </row>
    <row r="14" spans="2:12" ht="16.5" customHeight="1" x14ac:dyDescent="0.25">
      <c r="B14" s="164" t="s">
        <v>78</v>
      </c>
      <c r="C14" s="165"/>
      <c r="D14" s="165"/>
      <c r="E14" s="165"/>
      <c r="F14" s="166"/>
      <c r="G14" s="161" t="str">
        <f t="shared" si="0"/>
        <v>&gt;353</v>
      </c>
      <c r="H14" s="162"/>
      <c r="I14" s="163"/>
      <c r="J14" s="12"/>
      <c r="K14" s="5"/>
      <c r="L14" s="5"/>
    </row>
    <row r="15" spans="2:12" ht="16.5" customHeight="1" x14ac:dyDescent="0.25">
      <c r="B15" s="155" t="s">
        <v>79</v>
      </c>
      <c r="C15" s="156"/>
      <c r="D15" s="156"/>
      <c r="E15" s="156"/>
      <c r="F15" s="157"/>
      <c r="G15" s="161" t="str">
        <f t="shared" si="0"/>
        <v>&gt;10.0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58" t="s">
        <v>17</v>
      </c>
      <c r="C17" s="159"/>
      <c r="D17" s="159"/>
      <c r="E17" s="159"/>
      <c r="F17" s="160"/>
      <c r="G17" s="158" t="s">
        <v>54</v>
      </c>
      <c r="H17" s="159"/>
      <c r="I17" s="160"/>
      <c r="K17" s="5"/>
      <c r="L17" s="5"/>
    </row>
    <row r="18" spans="2:12" ht="16.5" customHeight="1" x14ac:dyDescent="0.25">
      <c r="B18" s="155" t="s">
        <v>80</v>
      </c>
      <c r="C18" s="156"/>
      <c r="D18" s="156"/>
      <c r="E18" s="156"/>
      <c r="F18" s="157"/>
      <c r="G18" s="170">
        <f>K44</f>
        <v>165.71862534355463</v>
      </c>
      <c r="H18" s="171"/>
      <c r="I18" s="172"/>
      <c r="K18" s="5"/>
      <c r="L18" s="5"/>
    </row>
    <row r="19" spans="2:12" ht="16.5" customHeight="1" x14ac:dyDescent="0.25">
      <c r="B19" s="155" t="s">
        <v>81</v>
      </c>
      <c r="C19" s="156"/>
      <c r="D19" s="156"/>
      <c r="E19" s="156"/>
      <c r="F19" s="157"/>
      <c r="G19" s="130">
        <f t="shared" ref="G19:G23" si="1">K45</f>
        <v>1.0754521426871448</v>
      </c>
      <c r="H19" s="131"/>
      <c r="I19" s="132"/>
      <c r="K19" s="5"/>
      <c r="L19" s="5"/>
    </row>
    <row r="20" spans="2:12" ht="16.5" customHeight="1" x14ac:dyDescent="0.25">
      <c r="B20" s="155" t="s">
        <v>82</v>
      </c>
      <c r="C20" s="156"/>
      <c r="D20" s="156"/>
      <c r="E20" s="156"/>
      <c r="F20" s="157"/>
      <c r="G20" s="130">
        <f t="shared" si="1"/>
        <v>8.4902525821030125E-2</v>
      </c>
      <c r="H20" s="131"/>
      <c r="I20" s="132"/>
      <c r="J20" s="2"/>
      <c r="K20" s="5"/>
      <c r="L20" s="5"/>
    </row>
    <row r="21" spans="2:12" ht="16.5" customHeight="1" x14ac:dyDescent="0.25">
      <c r="B21" s="155" t="s">
        <v>49</v>
      </c>
      <c r="C21" s="156"/>
      <c r="D21" s="156"/>
      <c r="E21" s="156"/>
      <c r="F21" s="157"/>
      <c r="G21" s="130">
        <f t="shared" si="1"/>
        <v>9.1308603313777492E-2</v>
      </c>
      <c r="H21" s="131"/>
      <c r="I21" s="132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0">
        <f t="shared" si="1"/>
        <v>6.8975297619452576</v>
      </c>
      <c r="H22" s="171"/>
      <c r="I22" s="172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0">
        <f t="shared" si="1"/>
        <v>20.833266318529255</v>
      </c>
      <c r="H23" s="171"/>
      <c r="I23" s="172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100.16</v>
      </c>
      <c r="F29" s="31"/>
      <c r="G29" s="32"/>
      <c r="H29" s="31"/>
      <c r="J29" s="33" t="s">
        <v>15</v>
      </c>
      <c r="K29" s="34">
        <f>LOOKUP("LBKF",B29:E51)</f>
        <v>99.28</v>
      </c>
      <c r="L29" s="35"/>
    </row>
    <row r="30" spans="2:12" ht="16.5" customHeight="1" x14ac:dyDescent="0.25">
      <c r="B30" s="119"/>
      <c r="C30" s="120">
        <v>8.09</v>
      </c>
      <c r="D30" s="121"/>
      <c r="E30" s="30">
        <v>100.23</v>
      </c>
      <c r="F30" s="31">
        <f t="shared" ref="F30:F35" si="2">IF(E30&gt;0,IF(E30&lt;K$29,K$29-E30,0),0)</f>
        <v>0</v>
      </c>
      <c r="G30" s="32">
        <f t="shared" ref="G30:G35" si="3">IF(E30&gt;0,IF(E30&lt;=K$29,C30-C29,0),0)</f>
        <v>0</v>
      </c>
      <c r="H30" s="31">
        <f t="shared" ref="H30:H35" si="4">IF(E30&lt;=K$29,G30*(F29+F30)/2,0)</f>
        <v>0</v>
      </c>
      <c r="J30" s="37" t="s">
        <v>71</v>
      </c>
      <c r="K30" s="11">
        <f>SUM(H29:H51)</f>
        <v>154.09204999999997</v>
      </c>
      <c r="L30" s="35"/>
    </row>
    <row r="31" spans="2:12" ht="16.5" customHeight="1" x14ac:dyDescent="0.25">
      <c r="B31" s="119" t="s">
        <v>2</v>
      </c>
      <c r="C31" s="120">
        <v>14.22</v>
      </c>
      <c r="D31" s="121"/>
      <c r="E31" s="30">
        <v>99.28</v>
      </c>
      <c r="F31" s="31">
        <f t="shared" si="2"/>
        <v>0</v>
      </c>
      <c r="G31" s="32">
        <f t="shared" si="3"/>
        <v>6.1300000000000008</v>
      </c>
      <c r="H31" s="31">
        <f t="shared" si="4"/>
        <v>0</v>
      </c>
      <c r="J31" s="37" t="s">
        <v>72</v>
      </c>
      <c r="K31" s="11">
        <f>LOOKUP("RBKF",B29:C51)-LOOKUP("LBKF",B29:C51)</f>
        <v>35.28</v>
      </c>
      <c r="L31" s="35"/>
    </row>
    <row r="32" spans="2:12" ht="16.5" customHeight="1" x14ac:dyDescent="0.25">
      <c r="B32" s="119"/>
      <c r="C32" s="120">
        <v>15.73</v>
      </c>
      <c r="D32" s="121"/>
      <c r="E32" s="30">
        <v>98.19</v>
      </c>
      <c r="F32" s="31">
        <f t="shared" si="2"/>
        <v>1.0900000000000034</v>
      </c>
      <c r="G32" s="32">
        <f t="shared" si="3"/>
        <v>1.5099999999999998</v>
      </c>
      <c r="H32" s="31">
        <f t="shared" si="4"/>
        <v>0.82295000000000251</v>
      </c>
      <c r="J32" s="37" t="s">
        <v>73</v>
      </c>
      <c r="K32" s="11">
        <f>K30/K31</f>
        <v>4.3676884920634915</v>
      </c>
      <c r="L32" s="35"/>
    </row>
    <row r="33" spans="2:13" ht="16.5" customHeight="1" x14ac:dyDescent="0.25">
      <c r="B33" s="119"/>
      <c r="C33" s="120">
        <v>17.47</v>
      </c>
      <c r="D33" s="121"/>
      <c r="E33" s="30">
        <v>97.29</v>
      </c>
      <c r="F33" s="31">
        <f t="shared" si="2"/>
        <v>1.9899999999999949</v>
      </c>
      <c r="G33" s="32">
        <f t="shared" si="3"/>
        <v>1.7399999999999984</v>
      </c>
      <c r="H33" s="31">
        <f t="shared" si="4"/>
        <v>2.6795999999999962</v>
      </c>
      <c r="J33" s="37" t="s">
        <v>74</v>
      </c>
      <c r="K33" s="38">
        <f>K31/K32</f>
        <v>8.0774991312011242</v>
      </c>
      <c r="L33" s="35"/>
    </row>
    <row r="34" spans="2:13" ht="16.5" customHeight="1" x14ac:dyDescent="0.25">
      <c r="B34" s="119"/>
      <c r="C34" s="120">
        <v>18.010000000000002</v>
      </c>
      <c r="D34" s="121"/>
      <c r="E34" s="30">
        <v>93.84</v>
      </c>
      <c r="F34" s="31">
        <f t="shared" si="2"/>
        <v>5.4399999999999977</v>
      </c>
      <c r="G34" s="32">
        <f t="shared" si="3"/>
        <v>0.5400000000000027</v>
      </c>
      <c r="H34" s="31">
        <f t="shared" si="4"/>
        <v>2.006100000000008</v>
      </c>
      <c r="J34" s="37" t="s">
        <v>75</v>
      </c>
      <c r="K34" s="11">
        <f>MAX(F29:F51)</f>
        <v>5.6099999999999994</v>
      </c>
      <c r="L34" s="35"/>
    </row>
    <row r="35" spans="2:13" ht="16.5" customHeight="1" x14ac:dyDescent="0.25">
      <c r="B35" s="119"/>
      <c r="C35" s="120">
        <v>35.82</v>
      </c>
      <c r="D35" s="121"/>
      <c r="E35" s="30">
        <v>93.67</v>
      </c>
      <c r="F35" s="31">
        <f t="shared" si="2"/>
        <v>5.6099999999999994</v>
      </c>
      <c r="G35" s="32">
        <f t="shared" si="3"/>
        <v>17.809999999999999</v>
      </c>
      <c r="H35" s="31">
        <f t="shared" si="4"/>
        <v>98.400249999999971</v>
      </c>
      <c r="J35" s="37" t="s">
        <v>76</v>
      </c>
      <c r="K35" s="39">
        <f>K34/K32</f>
        <v>1.284432259808342</v>
      </c>
      <c r="L35" s="35"/>
    </row>
    <row r="36" spans="2:13" ht="16.5" customHeight="1" x14ac:dyDescent="0.25">
      <c r="B36" s="119"/>
      <c r="C36" s="120">
        <v>41.66</v>
      </c>
      <c r="D36" s="121"/>
      <c r="E36" s="30">
        <v>94.75</v>
      </c>
      <c r="F36" s="31">
        <f t="shared" ref="F36" si="5">IF(E36&gt;0,IF(E36&lt;K$29,K$29-E36,0),0)</f>
        <v>4.5300000000000011</v>
      </c>
      <c r="G36" s="32">
        <f t="shared" ref="G36" si="6">IF(E36&gt;0,IF(E36&lt;=K$29,C36-C35,0),0)</f>
        <v>5.8399999999999963</v>
      </c>
      <c r="H36" s="31">
        <f t="shared" ref="H36" si="7">IF(E36&lt;=K$29,G36*(F35+F36)/2,0)</f>
        <v>29.608799999999984</v>
      </c>
      <c r="J36" s="40" t="s">
        <v>25</v>
      </c>
      <c r="K36" s="41">
        <v>5.6</v>
      </c>
      <c r="L36" s="35"/>
    </row>
    <row r="37" spans="2:13" ht="16.5" customHeight="1" x14ac:dyDescent="0.25">
      <c r="B37" s="119"/>
      <c r="C37" s="120">
        <v>45.69</v>
      </c>
      <c r="D37" s="121"/>
      <c r="E37" s="30">
        <v>96.36</v>
      </c>
      <c r="F37" s="31">
        <f t="shared" ref="F37:F39" si="8">IF(E37&gt;0,IF(E37&lt;K$29,K$29-E37,0),0)</f>
        <v>2.9200000000000017</v>
      </c>
      <c r="G37" s="32">
        <f t="shared" ref="G37:G39" si="9">IF(E37&gt;0,IF(E37&lt;=K$29,C37-C36,0),0)</f>
        <v>4.0300000000000011</v>
      </c>
      <c r="H37" s="31">
        <f t="shared" ref="H37:H39" si="10">IF(E37&lt;=K$29,G37*(F36+F37)/2,0)</f>
        <v>15.01175000000001</v>
      </c>
      <c r="J37" s="40" t="s">
        <v>77</v>
      </c>
      <c r="K37" s="42">
        <f>+K36/K34</f>
        <v>0.99821746880570417</v>
      </c>
      <c r="L37" s="35"/>
    </row>
    <row r="38" spans="2:13" ht="16.5" customHeight="1" x14ac:dyDescent="0.25">
      <c r="B38" s="119" t="s">
        <v>3</v>
      </c>
      <c r="C38" s="120">
        <v>49.5</v>
      </c>
      <c r="D38" s="121"/>
      <c r="E38" s="30">
        <v>99.28</v>
      </c>
      <c r="F38" s="31">
        <f t="shared" si="8"/>
        <v>0</v>
      </c>
      <c r="G38" s="32">
        <f t="shared" si="9"/>
        <v>3.8100000000000023</v>
      </c>
      <c r="H38" s="31">
        <f t="shared" si="10"/>
        <v>5.5626000000000069</v>
      </c>
      <c r="J38" s="43" t="s">
        <v>78</v>
      </c>
      <c r="K38" s="44" t="s">
        <v>109</v>
      </c>
      <c r="L38" s="35"/>
    </row>
    <row r="39" spans="2:13" ht="16.5" customHeight="1" x14ac:dyDescent="0.25">
      <c r="B39" s="119"/>
      <c r="C39" s="120">
        <v>50.94</v>
      </c>
      <c r="D39" s="121"/>
      <c r="E39" s="30">
        <v>100.33</v>
      </c>
      <c r="F39" s="31">
        <f t="shared" si="8"/>
        <v>0</v>
      </c>
      <c r="G39" s="32">
        <f t="shared" si="9"/>
        <v>0</v>
      </c>
      <c r="H39" s="31">
        <f t="shared" si="10"/>
        <v>0</v>
      </c>
      <c r="J39" s="37" t="s">
        <v>79</v>
      </c>
      <c r="K39" s="11" t="s">
        <v>108</v>
      </c>
      <c r="L39" s="35"/>
    </row>
    <row r="40" spans="2:13" ht="16.5" customHeight="1" x14ac:dyDescent="0.25">
      <c r="B40" s="119"/>
      <c r="C40" s="120">
        <v>78.14</v>
      </c>
      <c r="D40" s="121"/>
      <c r="E40" s="30">
        <v>99.2</v>
      </c>
      <c r="F40" s="31"/>
      <c r="G40" s="32"/>
      <c r="H40" s="31"/>
      <c r="J40" s="37" t="s">
        <v>8</v>
      </c>
      <c r="K40" s="108">
        <f>+'Longitudinal Profile'!$H$9</f>
        <v>3.8865137971239797E-4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6.3E-2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44.015376984126988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3.5008685727165147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165.71862534355463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1.0754521426871448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8.4902525821030125E-2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9.1308603313777492E-2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6.8975297619452576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20.833266318529255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3" sqref="E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6" t="s">
        <v>17</v>
      </c>
      <c r="K5" s="177"/>
      <c r="L5" s="180" t="s">
        <v>47</v>
      </c>
      <c r="M5" s="181"/>
      <c r="N5" s="181"/>
      <c r="O5" s="181"/>
      <c r="P5" s="181"/>
      <c r="Q5" s="181"/>
      <c r="R5" s="181"/>
      <c r="S5" s="182"/>
      <c r="T5" s="175" t="s">
        <v>34</v>
      </c>
      <c r="U5" s="175"/>
      <c r="V5" s="175"/>
    </row>
    <row r="6" spans="2:22" ht="16.5" customHeight="1" thickTop="1" thickBot="1" x14ac:dyDescent="0.35">
      <c r="B6" s="71" t="s">
        <v>12</v>
      </c>
      <c r="C6" s="72"/>
      <c r="D6" s="73"/>
      <c r="F6" s="178" t="s">
        <v>28</v>
      </c>
      <c r="G6" s="179"/>
      <c r="H6" s="72">
        <f>H7/H11</f>
        <v>196.41221374045801</v>
      </c>
      <c r="I6" s="70"/>
      <c r="J6" s="177"/>
      <c r="K6" s="177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257.3</v>
      </c>
      <c r="I7" s="67"/>
      <c r="J7" s="176" t="s">
        <v>85</v>
      </c>
      <c r="K7" s="176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0.1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3.8865137971239797E-4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5.0913330742324132E-4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3" t="s">
        <v>33</v>
      </c>
      <c r="G11" s="174"/>
      <c r="H11" s="31">
        <v>1.31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6" t="s">
        <v>17</v>
      </c>
      <c r="C5" s="180" t="s">
        <v>35</v>
      </c>
      <c r="D5" s="181"/>
      <c r="E5" s="181"/>
      <c r="F5" s="181"/>
      <c r="G5" s="181"/>
      <c r="H5" s="175" t="s">
        <v>34</v>
      </c>
      <c r="I5" s="175"/>
      <c r="J5" s="175"/>
    </row>
    <row r="6" spans="2:10" ht="16.5" customHeight="1" thickBot="1" x14ac:dyDescent="0.3">
      <c r="B6" s="183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