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F30" i="81" l="1"/>
  <c r="G30" i="81"/>
  <c r="H30" i="81"/>
  <c r="F31" i="81"/>
  <c r="G31" i="81"/>
  <c r="H31" i="81"/>
  <c r="F32" i="81"/>
  <c r="G32" i="81"/>
  <c r="H32" i="81"/>
  <c r="F33" i="81"/>
  <c r="G33" i="81"/>
  <c r="H33" i="81" s="1"/>
  <c r="F34" i="81"/>
  <c r="G34" i="81"/>
  <c r="H34" i="81" s="1"/>
  <c r="F35" i="81"/>
  <c r="G35" i="81"/>
  <c r="H35" i="81"/>
  <c r="F36" i="81"/>
  <c r="G36" i="81"/>
  <c r="H36" i="81" s="1"/>
  <c r="F37" i="81"/>
  <c r="G37" i="81"/>
  <c r="H37" i="81" s="1"/>
  <c r="F38" i="81"/>
  <c r="G38" i="81"/>
  <c r="H38" i="81"/>
  <c r="K29" i="81" l="1"/>
  <c r="K31" i="81"/>
  <c r="K40" i="81"/>
  <c r="G12" i="81"/>
  <c r="G14" i="81"/>
  <c r="L30" i="70"/>
  <c r="L23" i="70"/>
  <c r="M30" i="70"/>
  <c r="N30" i="70" s="1"/>
  <c r="U8" i="70"/>
  <c r="D41" i="73" s="1"/>
  <c r="D42" i="73" s="1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N27" i="70" s="1"/>
  <c r="M28" i="70"/>
  <c r="M29" i="70"/>
  <c r="T7" i="70"/>
  <c r="C45" i="73"/>
  <c r="C46" i="73" s="1"/>
  <c r="U7" i="70"/>
  <c r="D45" i="73" s="1"/>
  <c r="D46" i="73" s="1"/>
  <c r="V7" i="70"/>
  <c r="E45" i="73"/>
  <c r="E46" i="73" s="1"/>
  <c r="T8" i="70"/>
  <c r="C41" i="73" s="1"/>
  <c r="C42" i="73" s="1"/>
  <c r="V8" i="70"/>
  <c r="E41" i="73" s="1"/>
  <c r="E42" i="73" s="1"/>
  <c r="V10" i="70"/>
  <c r="E47" i="73" s="1"/>
  <c r="U10" i="70"/>
  <c r="D47" i="73" s="1"/>
  <c r="T10" i="70"/>
  <c r="C47" i="73" s="1"/>
  <c r="V9" i="70"/>
  <c r="E43" i="73" s="1"/>
  <c r="E44" i="73" s="1"/>
  <c r="U9" i="70"/>
  <c r="D43" i="73" s="1"/>
  <c r="D44" i="73" s="1"/>
  <c r="T9" i="70"/>
  <c r="C43" i="73" s="1"/>
  <c r="C44" i="73" s="1"/>
  <c r="I9" i="84"/>
  <c r="D37" i="73" s="1"/>
  <c r="D38" i="73" s="1"/>
  <c r="H9" i="84"/>
  <c r="C37" i="73" s="1"/>
  <c r="C38" i="73" s="1"/>
  <c r="J9" i="84"/>
  <c r="E37" i="73" s="1"/>
  <c r="E38" i="73" s="1"/>
  <c r="J8" i="84"/>
  <c r="E35" i="73"/>
  <c r="E36" i="73" s="1"/>
  <c r="I8" i="84"/>
  <c r="D35" i="73" s="1"/>
  <c r="D36" i="73" s="1"/>
  <c r="H8" i="84"/>
  <c r="C35" i="73"/>
  <c r="C36" i="73" s="1"/>
  <c r="J7" i="84"/>
  <c r="E33" i="73" s="1"/>
  <c r="E34" i="73" s="1"/>
  <c r="I7" i="84"/>
  <c r="D33" i="73" s="1"/>
  <c r="D34" i="73" s="1"/>
  <c r="H7" i="84"/>
  <c r="C33" i="73" s="1"/>
  <c r="C34" i="73" s="1"/>
  <c r="E15" i="73"/>
  <c r="C11" i="73"/>
  <c r="C12" i="73"/>
  <c r="M23" i="70"/>
  <c r="N23" i="70" s="1"/>
  <c r="M20" i="70"/>
  <c r="M19" i="70"/>
  <c r="N26" i="70"/>
  <c r="M22" i="70"/>
  <c r="N22" i="70" s="1"/>
  <c r="M21" i="70"/>
  <c r="N21" i="70" s="1"/>
  <c r="M17" i="70"/>
  <c r="N17" i="70" s="1"/>
  <c r="M18" i="70"/>
  <c r="M16" i="70"/>
  <c r="N16" i="70"/>
  <c r="C10" i="73"/>
  <c r="D15" i="73"/>
  <c r="D23" i="73"/>
  <c r="E23" i="73"/>
  <c r="E18" i="73"/>
  <c r="D1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D48" i="73" l="1"/>
  <c r="C48" i="73"/>
  <c r="N29" i="70"/>
  <c r="N25" i="70"/>
  <c r="N18" i="70"/>
  <c r="E48" i="73"/>
  <c r="N20" i="70"/>
  <c r="N28" i="70"/>
  <c r="N24" i="70"/>
  <c r="N19" i="70"/>
  <c r="F29" i="81"/>
  <c r="F39" i="81"/>
  <c r="G29" i="81"/>
  <c r="G39" i="81"/>
  <c r="H29" i="81"/>
  <c r="H39" i="81"/>
  <c r="K39" i="81"/>
  <c r="G15" i="81" s="1"/>
  <c r="C23" i="73" s="1"/>
  <c r="G7" i="81"/>
  <c r="C15" i="73" s="1"/>
  <c r="K34" i="81" l="1"/>
  <c r="K37" i="81" s="1"/>
  <c r="G13" i="81" s="1"/>
  <c r="C21" i="73" s="1"/>
  <c r="K30" i="81" l="1"/>
  <c r="K32" i="81" s="1"/>
  <c r="G10" i="81"/>
  <c r="C18" i="73" s="1"/>
  <c r="G6" i="81" l="1"/>
  <c r="C14" i="73" s="1"/>
  <c r="G8" i="81"/>
  <c r="C16" i="73" s="1"/>
  <c r="K33" i="81"/>
  <c r="G9" i="81" s="1"/>
  <c r="C17" i="73" s="1"/>
  <c r="K35" i="81"/>
  <c r="G11" i="81" s="1"/>
  <c r="C19" i="73" s="1"/>
  <c r="K42" i="81"/>
  <c r="K43" i="81" s="1"/>
  <c r="K46" i="81" l="1"/>
  <c r="K44" i="81"/>
  <c r="K45" i="81" l="1"/>
  <c r="G19" i="81" s="1"/>
  <c r="C26" i="73" s="1"/>
  <c r="G18" i="81"/>
  <c r="C25" i="73" s="1"/>
  <c r="K49" i="81"/>
  <c r="G23" i="81" s="1"/>
  <c r="C30" i="73" s="1"/>
  <c r="K48" i="81"/>
  <c r="G22" i="81" s="1"/>
  <c r="C29" i="73" s="1"/>
  <c r="G20" i="81"/>
  <c r="C27" i="73" s="1"/>
  <c r="K47" i="81" l="1"/>
  <c r="G21" i="81" s="1"/>
  <c r="C28" i="73" s="1"/>
</calcChain>
</file>

<file path=xl/sharedStrings.xml><?xml version="1.0" encoding="utf-8"?>
<sst xmlns="http://schemas.openxmlformats.org/spreadsheetml/2006/main" count="169" uniqueCount="108">
  <si>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</si>
  <si>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</si>
  <si>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</si>
  <si>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</si>
  <si>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</si>
  <si>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</si>
  <si>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</si>
  <si>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</si>
  <si>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</si>
  <si>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</si>
  <si>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</si>
  <si>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</si>
  <si>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</si>
  <si>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</si>
  <si>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</si>
  <si>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</si>
  <si>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</si>
  <si>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</si>
  <si>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</si>
  <si>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</si>
  <si>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</si>
  <si>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</si>
  <si>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</si>
  <si>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</si>
  <si>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</si>
  <si>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</si>
  <si>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</si>
  <si>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</si>
  <si>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</si>
  <si>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</si>
  <si>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</si>
  <si>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</si>
  <si>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</si>
  <si>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</si>
  <si>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</si>
  <si>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</si>
  <si>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</si>
  <si>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</si>
  <si>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</si>
  <si>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</si>
  <si>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</si>
  <si>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</si>
  <si>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</si>
  <si>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</si>
  <si>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</si>
  <si>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</si>
  <si>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</si>
  <si>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</si>
  <si>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</si>
  <si>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</si>
  <si>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</si>
  <si>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</si>
  <si>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</si>
  <si>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</si>
  <si>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</si>
  <si>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</si>
  <si>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</si>
  <si>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</si>
  <si>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</si>
  <si>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</si>
  <si>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</si>
  <si>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</si>
  <si>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</si>
  <si>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</si>
  <si>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</si>
  <si>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</si>
  <si>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</si>
  <si>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</si>
  <si>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</si>
  <si>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</si>
  <si>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</si>
  <si>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</si>
  <si>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</si>
  <si>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</si>
  <si>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</si>
  <si>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</si>
  <si>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</si>
  <si>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</si>
  <si>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</si>
  <si>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</si>
  <si>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</si>
  <si>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</si>
  <si>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</si>
  <si>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</si>
  <si>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</si>
  <si>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</si>
  <si>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</si>
  <si>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</si>
  <si>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</si>
  <si>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</si>
  <si>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</si>
  <si>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</si>
  <si>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</si>
  <si>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</si>
  <si>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</si>
  <si>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</si>
  <si>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</si>
  <si>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</si>
  <si>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</si>
  <si>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</si>
  <si>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</si>
  <si>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</si>
  <si>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</si>
  <si>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UT Beech Creek, Manchester State Forest</t>
  </si>
  <si>
    <t>33.873469, -80.548092</t>
  </si>
  <si>
    <t>UT Beech Creek</t>
  </si>
  <si>
    <t>sand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</si>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</sst>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6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1.24</c:v>
                </c:pt>
                <c:pt idx="2">
                  <c:v>6.76</c:v>
                </c:pt>
                <c:pt idx="3">
                  <c:v>7.9</c:v>
                </c:pt>
                <c:pt idx="4">
                  <c:v>7.95</c:v>
                </c:pt>
                <c:pt idx="5">
                  <c:v>8.3000000000000007</c:v>
                </c:pt>
                <c:pt idx="6">
                  <c:v>9.94</c:v>
                </c:pt>
                <c:pt idx="7">
                  <c:v>11.67</c:v>
                </c:pt>
                <c:pt idx="8">
                  <c:v>14.16</c:v>
                </c:pt>
                <c:pt idx="9">
                  <c:v>18.38</c:v>
                </c:pt>
                <c:pt idx="10">
                  <c:v>22.97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101.26</c:v>
                </c:pt>
                <c:pt idx="1">
                  <c:v>99.09</c:v>
                </c:pt>
                <c:pt idx="2">
                  <c:v>98.71</c:v>
                </c:pt>
                <c:pt idx="3">
                  <c:v>98.18</c:v>
                </c:pt>
                <c:pt idx="4">
                  <c:v>98.17</c:v>
                </c:pt>
                <c:pt idx="5">
                  <c:v>97.37</c:v>
                </c:pt>
                <c:pt idx="6">
                  <c:v>97.23</c:v>
                </c:pt>
                <c:pt idx="7">
                  <c:v>97.5</c:v>
                </c:pt>
                <c:pt idx="8">
                  <c:v>98.18</c:v>
                </c:pt>
                <c:pt idx="9">
                  <c:v>98.32</c:v>
                </c:pt>
                <c:pt idx="10">
                  <c:v>99.66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122160"/>
        <c:axId val="379121768"/>
      </c:scatterChart>
      <c:valAx>
        <c:axId val="37912216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79121768"/>
        <c:crosses val="autoZero"/>
        <c:crossBetween val="midCat"/>
      </c:valAx>
      <c:valAx>
        <c:axId val="37912176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79122160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9.84</c:v>
                </c:pt>
                <c:pt idx="2">
                  <c:v>19.38</c:v>
                </c:pt>
                <c:pt idx="3">
                  <c:v>22.57</c:v>
                </c:pt>
                <c:pt idx="4">
                  <c:v>28.02</c:v>
                </c:pt>
                <c:pt idx="5">
                  <c:v>32.56</c:v>
                </c:pt>
                <c:pt idx="6">
                  <c:v>38.67</c:v>
                </c:pt>
                <c:pt idx="7">
                  <c:v>41.3</c:v>
                </c:pt>
                <c:pt idx="8">
                  <c:v>46.8</c:v>
                </c:pt>
                <c:pt idx="9">
                  <c:v>56.69</c:v>
                </c:pt>
                <c:pt idx="10">
                  <c:v>62.13</c:v>
                </c:pt>
                <c:pt idx="11">
                  <c:v>65.61</c:v>
                </c:pt>
                <c:pt idx="12">
                  <c:v>71.400000000000006</c:v>
                </c:pt>
                <c:pt idx="13">
                  <c:v>80.77</c:v>
                </c:pt>
                <c:pt idx="14">
                  <c:v>84.26</c:v>
                </c:pt>
                <c:pt idx="15">
                  <c:v>88.23</c:v>
                </c:pt>
                <c:pt idx="16">
                  <c:v>98.16</c:v>
                </c:pt>
                <c:pt idx="17">
                  <c:v>108.16</c:v>
                </c:pt>
                <c:pt idx="18">
                  <c:v>118.59</c:v>
                </c:pt>
                <c:pt idx="19">
                  <c:v>123.17</c:v>
                </c:pt>
                <c:pt idx="20">
                  <c:v>128.29</c:v>
                </c:pt>
                <c:pt idx="21">
                  <c:v>136.01</c:v>
                </c:pt>
                <c:pt idx="22">
                  <c:v>143.16999999999999</c:v>
                </c:pt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  <c:pt idx="0">
                  <c:v>97.46</c:v>
                </c:pt>
                <c:pt idx="1">
                  <c:v>97.4</c:v>
                </c:pt>
                <c:pt idx="2">
                  <c:v>97.41</c:v>
                </c:pt>
                <c:pt idx="3">
                  <c:v>97.14</c:v>
                </c:pt>
                <c:pt idx="4">
                  <c:v>97.18</c:v>
                </c:pt>
                <c:pt idx="5">
                  <c:v>97.34</c:v>
                </c:pt>
                <c:pt idx="6">
                  <c:v>97.13</c:v>
                </c:pt>
                <c:pt idx="7">
                  <c:v>96.99</c:v>
                </c:pt>
                <c:pt idx="8">
                  <c:v>97.16</c:v>
                </c:pt>
                <c:pt idx="9">
                  <c:v>97.13</c:v>
                </c:pt>
                <c:pt idx="10">
                  <c:v>96.85</c:v>
                </c:pt>
                <c:pt idx="11">
                  <c:v>96.76</c:v>
                </c:pt>
                <c:pt idx="12">
                  <c:v>97.07</c:v>
                </c:pt>
                <c:pt idx="13">
                  <c:v>96.98</c:v>
                </c:pt>
                <c:pt idx="14">
                  <c:v>96.41</c:v>
                </c:pt>
                <c:pt idx="15">
                  <c:v>96.89</c:v>
                </c:pt>
                <c:pt idx="16">
                  <c:v>96.71</c:v>
                </c:pt>
                <c:pt idx="17">
                  <c:v>96.79</c:v>
                </c:pt>
                <c:pt idx="18">
                  <c:v>96.51</c:v>
                </c:pt>
                <c:pt idx="19">
                  <c:v>95.93</c:v>
                </c:pt>
                <c:pt idx="20">
                  <c:v>96.45</c:v>
                </c:pt>
                <c:pt idx="21">
                  <c:v>96.32</c:v>
                </c:pt>
                <c:pt idx="22">
                  <c:v>96.28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9.84</c:v>
                </c:pt>
                <c:pt idx="2">
                  <c:v>19.38</c:v>
                </c:pt>
                <c:pt idx="3">
                  <c:v>22.57</c:v>
                </c:pt>
                <c:pt idx="4">
                  <c:v>28.02</c:v>
                </c:pt>
                <c:pt idx="5">
                  <c:v>32.56</c:v>
                </c:pt>
                <c:pt idx="6">
                  <c:v>38.67</c:v>
                </c:pt>
                <c:pt idx="7">
                  <c:v>41.3</c:v>
                </c:pt>
                <c:pt idx="8">
                  <c:v>46.8</c:v>
                </c:pt>
                <c:pt idx="9">
                  <c:v>56.69</c:v>
                </c:pt>
                <c:pt idx="10">
                  <c:v>62.13</c:v>
                </c:pt>
                <c:pt idx="11">
                  <c:v>65.61</c:v>
                </c:pt>
                <c:pt idx="12">
                  <c:v>71.400000000000006</c:v>
                </c:pt>
                <c:pt idx="13">
                  <c:v>80.77</c:v>
                </c:pt>
                <c:pt idx="14">
                  <c:v>84.26</c:v>
                </c:pt>
                <c:pt idx="15">
                  <c:v>88.23</c:v>
                </c:pt>
                <c:pt idx="16">
                  <c:v>98.16</c:v>
                </c:pt>
                <c:pt idx="17">
                  <c:v>108.16</c:v>
                </c:pt>
                <c:pt idx="18">
                  <c:v>118.59</c:v>
                </c:pt>
                <c:pt idx="19">
                  <c:v>123.17</c:v>
                </c:pt>
                <c:pt idx="20">
                  <c:v>128.29</c:v>
                </c:pt>
                <c:pt idx="21">
                  <c:v>136.01</c:v>
                </c:pt>
                <c:pt idx="22">
                  <c:v>143.16999999999999</c:v>
                </c:pt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  <c:pt idx="0">
                  <c:v>97.8</c:v>
                </c:pt>
                <c:pt idx="1">
                  <c:v>97.77</c:v>
                </c:pt>
                <c:pt idx="2">
                  <c:v>97.71</c:v>
                </c:pt>
                <c:pt idx="3">
                  <c:v>97.72</c:v>
                </c:pt>
                <c:pt idx="5">
                  <c:v>97.55</c:v>
                </c:pt>
                <c:pt idx="7">
                  <c:v>97.53</c:v>
                </c:pt>
                <c:pt idx="8">
                  <c:v>97.42</c:v>
                </c:pt>
                <c:pt idx="9">
                  <c:v>97.37</c:v>
                </c:pt>
                <c:pt idx="10">
                  <c:v>97.34</c:v>
                </c:pt>
                <c:pt idx="11">
                  <c:v>97.31</c:v>
                </c:pt>
                <c:pt idx="12">
                  <c:v>97.3</c:v>
                </c:pt>
                <c:pt idx="13">
                  <c:v>97.24</c:v>
                </c:pt>
                <c:pt idx="15">
                  <c:v>97.19</c:v>
                </c:pt>
                <c:pt idx="16">
                  <c:v>97.12</c:v>
                </c:pt>
                <c:pt idx="17">
                  <c:v>97.13</c:v>
                </c:pt>
                <c:pt idx="18">
                  <c:v>97.02</c:v>
                </c:pt>
                <c:pt idx="19">
                  <c:v>96.75</c:v>
                </c:pt>
                <c:pt idx="20">
                  <c:v>96.75</c:v>
                </c:pt>
                <c:pt idx="21">
                  <c:v>96.7</c:v>
                </c:pt>
                <c:pt idx="22">
                  <c:v>96.69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122944"/>
        <c:axId val="37912333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  <c:pt idx="0">
                        <c:v>0</c:v>
                      </c:pt>
                      <c:pt idx="1">
                        <c:v>9.84</c:v>
                      </c:pt>
                      <c:pt idx="2">
                        <c:v>19.38</c:v>
                      </c:pt>
                      <c:pt idx="3">
                        <c:v>22.57</c:v>
                      </c:pt>
                      <c:pt idx="4">
                        <c:v>28.02</c:v>
                      </c:pt>
                      <c:pt idx="5">
                        <c:v>32.56</c:v>
                      </c:pt>
                      <c:pt idx="6">
                        <c:v>38.67</c:v>
                      </c:pt>
                      <c:pt idx="7">
                        <c:v>41.3</c:v>
                      </c:pt>
                      <c:pt idx="8">
                        <c:v>46.8</c:v>
                      </c:pt>
                      <c:pt idx="9">
                        <c:v>56.69</c:v>
                      </c:pt>
                      <c:pt idx="10">
                        <c:v>62.13</c:v>
                      </c:pt>
                      <c:pt idx="11">
                        <c:v>65.61</c:v>
                      </c:pt>
                      <c:pt idx="12">
                        <c:v>71.400000000000006</c:v>
                      </c:pt>
                      <c:pt idx="13">
                        <c:v>80.77</c:v>
                      </c:pt>
                      <c:pt idx="14">
                        <c:v>84.26</c:v>
                      </c:pt>
                      <c:pt idx="15">
                        <c:v>88.23</c:v>
                      </c:pt>
                      <c:pt idx="16">
                        <c:v>98.16</c:v>
                      </c:pt>
                      <c:pt idx="17">
                        <c:v>108.16</c:v>
                      </c:pt>
                      <c:pt idx="18">
                        <c:v>118.59</c:v>
                      </c:pt>
                      <c:pt idx="19">
                        <c:v>123.17</c:v>
                      </c:pt>
                      <c:pt idx="20">
                        <c:v>128.29</c:v>
                      </c:pt>
                      <c:pt idx="21">
                        <c:v>136.01</c:v>
                      </c:pt>
                      <c:pt idx="22">
                        <c:v>143.16999999999999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0">
                        <c:v>0</c:v>
                      </c:pt>
                      <c:pt idx="1">
                        <c:v>9.84</c:v>
                      </c:pt>
                      <c:pt idx="2">
                        <c:v>19.38</c:v>
                      </c:pt>
                      <c:pt idx="3">
                        <c:v>22.57</c:v>
                      </c:pt>
                      <c:pt idx="4">
                        <c:v>28.02</c:v>
                      </c:pt>
                      <c:pt idx="5">
                        <c:v>32.56</c:v>
                      </c:pt>
                      <c:pt idx="6">
                        <c:v>38.67</c:v>
                      </c:pt>
                      <c:pt idx="7">
                        <c:v>41.3</c:v>
                      </c:pt>
                      <c:pt idx="8">
                        <c:v>46.8</c:v>
                      </c:pt>
                      <c:pt idx="9">
                        <c:v>56.69</c:v>
                      </c:pt>
                      <c:pt idx="10">
                        <c:v>62.13</c:v>
                      </c:pt>
                      <c:pt idx="11">
                        <c:v>65.61</c:v>
                      </c:pt>
                      <c:pt idx="12">
                        <c:v>71.400000000000006</c:v>
                      </c:pt>
                      <c:pt idx="13">
                        <c:v>80.77</c:v>
                      </c:pt>
                      <c:pt idx="14">
                        <c:v>84.26</c:v>
                      </c:pt>
                      <c:pt idx="15">
                        <c:v>88.23</c:v>
                      </c:pt>
                      <c:pt idx="16">
                        <c:v>98.16</c:v>
                      </c:pt>
                      <c:pt idx="17">
                        <c:v>108.16</c:v>
                      </c:pt>
                      <c:pt idx="18">
                        <c:v>118.59</c:v>
                      </c:pt>
                      <c:pt idx="19">
                        <c:v>123.17</c:v>
                      </c:pt>
                      <c:pt idx="20">
                        <c:v>128.29</c:v>
                      </c:pt>
                      <c:pt idx="21">
                        <c:v>136.01</c:v>
                      </c:pt>
                      <c:pt idx="22">
                        <c:v>143.16999999999999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79122944"/>
        <c:scaling>
          <c:orientation val="minMax"/>
          <c:max val="15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79123336"/>
        <c:crosses val="autoZero"/>
        <c:crossBetween val="midCat"/>
        <c:minorUnit val="25"/>
      </c:valAx>
      <c:valAx>
        <c:axId val="37912333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79122944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C11" sqref="C11:E11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8" customFormat="1" ht="16.95" customHeight="1" x14ac:dyDescent="0.25">
      <c r="B1" s="108" t="s">
        <v>103</v>
      </c>
      <c r="C1" s="109">
        <v>43837</v>
      </c>
      <c r="D1" s="104"/>
      <c r="E1" s="110" t="s">
        <v>104</v>
      </c>
    </row>
    <row r="2" spans="2:5" ht="16.95" customHeight="1" x14ac:dyDescent="0.25">
      <c r="B2" s="111" t="s">
        <v>65</v>
      </c>
    </row>
    <row r="3" spans="2:5" ht="16.95" customHeight="1" x14ac:dyDescent="0.25">
      <c r="B3" s="103" t="s">
        <v>16</v>
      </c>
      <c r="C3" s="104"/>
    </row>
    <row r="4" spans="2:5" ht="16.95" customHeight="1" x14ac:dyDescent="0.25">
      <c r="B4" s="59"/>
    </row>
    <row r="5" spans="2:5" ht="16.95" customHeight="1" thickBot="1" x14ac:dyDescent="0.3">
      <c r="B5" s="112" t="s">
        <v>17</v>
      </c>
      <c r="C5" s="124" t="s">
        <v>50</v>
      </c>
      <c r="D5" s="124"/>
      <c r="E5" s="124"/>
    </row>
    <row r="6" spans="2:5" ht="16.95" customHeight="1" thickTop="1" x14ac:dyDescent="0.25">
      <c r="B6" s="15" t="s">
        <v>60</v>
      </c>
      <c r="C6" s="125" t="s">
        <v>105</v>
      </c>
      <c r="D6" s="126"/>
      <c r="E6" s="127"/>
    </row>
    <row r="7" spans="2:5" ht="16.95" customHeight="1" x14ac:dyDescent="0.25">
      <c r="B7" s="15" t="s">
        <v>59</v>
      </c>
      <c r="C7" s="128" t="s">
        <v>107</v>
      </c>
      <c r="D7" s="129"/>
      <c r="E7" s="130"/>
    </row>
    <row r="8" spans="2:5" ht="16.95" customHeight="1" x14ac:dyDescent="0.25">
      <c r="B8" s="15" t="s">
        <v>21</v>
      </c>
      <c r="C8" s="131">
        <v>0.38</v>
      </c>
      <c r="D8" s="132"/>
      <c r="E8" s="133"/>
    </row>
    <row r="9" spans="2:5" ht="16.95" customHeight="1" x14ac:dyDescent="0.25">
      <c r="B9" s="15" t="s">
        <v>88</v>
      </c>
      <c r="C9" s="143" t="s">
        <v>106</v>
      </c>
      <c r="D9" s="144"/>
      <c r="E9" s="145"/>
    </row>
    <row r="10" spans="2:5" ht="16.95" customHeight="1" x14ac:dyDescent="0.25">
      <c r="B10" s="15" t="s">
        <v>52</v>
      </c>
      <c r="C10" s="137">
        <f>'Longitudinal Profile'!H9</f>
        <v>8.1839438815276694E-3</v>
      </c>
      <c r="D10" s="138"/>
      <c r="E10" s="139"/>
    </row>
    <row r="11" spans="2:5" ht="16.95" customHeight="1" x14ac:dyDescent="0.25">
      <c r="B11" s="15" t="s">
        <v>53</v>
      </c>
      <c r="C11" s="146">
        <f>'Longitudinal Profile'!H11</f>
        <v>1.06</v>
      </c>
      <c r="D11" s="147"/>
      <c r="E11" s="148"/>
    </row>
    <row r="12" spans="2:5" ht="16.95" customHeight="1" thickBot="1" x14ac:dyDescent="0.3">
      <c r="B12" s="15" t="s">
        <v>23</v>
      </c>
      <c r="C12" s="140">
        <f>'Longitudinal Profile'!H7</f>
        <v>128.30000000000001</v>
      </c>
      <c r="D12" s="141"/>
      <c r="E12" s="142"/>
    </row>
    <row r="13" spans="2:5" ht="16.95" customHeight="1" thickTop="1" x14ac:dyDescent="0.25">
      <c r="B13" s="115" t="s">
        <v>17</v>
      </c>
      <c r="C13" s="134" t="s">
        <v>64</v>
      </c>
      <c r="D13" s="135"/>
      <c r="E13" s="136"/>
    </row>
    <row r="14" spans="2:5" ht="16.95" customHeight="1" x14ac:dyDescent="0.25">
      <c r="B14" s="113" t="s">
        <v>71</v>
      </c>
      <c r="C14" s="121">
        <f>'Cross-section'!G6</f>
        <v>3.8435000000000219</v>
      </c>
      <c r="D14" s="122"/>
      <c r="E14" s="123"/>
    </row>
    <row r="15" spans="2:5" ht="16.95" customHeight="1" x14ac:dyDescent="0.25">
      <c r="B15" s="40" t="s">
        <v>72</v>
      </c>
      <c r="C15" s="121">
        <f>'Cross-section'!G7</f>
        <v>6.26</v>
      </c>
      <c r="D15" s="122">
        <f>'Cross-section'!H7</f>
        <v>0</v>
      </c>
      <c r="E15" s="123">
        <f>'Cross-section'!I7</f>
        <v>0</v>
      </c>
    </row>
    <row r="16" spans="2:5" ht="16.95" customHeight="1" x14ac:dyDescent="0.25">
      <c r="B16" s="40" t="s">
        <v>73</v>
      </c>
      <c r="C16" s="121">
        <f>'Cross-section'!G8</f>
        <v>0.61397763578275111</v>
      </c>
      <c r="D16" s="122">
        <f>'Cross-section'!H8</f>
        <v>0</v>
      </c>
      <c r="E16" s="123">
        <f>'Cross-section'!I8</f>
        <v>0</v>
      </c>
    </row>
    <row r="17" spans="2:5" ht="16.95" customHeight="1" x14ac:dyDescent="0.25">
      <c r="B17" s="40" t="s">
        <v>74</v>
      </c>
      <c r="C17" s="121">
        <f>'Cross-section'!G9</f>
        <v>10.195811109665611</v>
      </c>
      <c r="D17" s="122">
        <f>'Cross-section'!H9</f>
        <v>0</v>
      </c>
      <c r="E17" s="123">
        <f>'Cross-section'!I9</f>
        <v>0</v>
      </c>
    </row>
    <row r="18" spans="2:5" ht="16.95" customHeight="1" x14ac:dyDescent="0.25">
      <c r="B18" s="40" t="s">
        <v>75</v>
      </c>
      <c r="C18" s="121">
        <f>'Cross-section'!G10</f>
        <v>0.95000000000000284</v>
      </c>
      <c r="D18" s="122">
        <f>'Cross-section'!H10</f>
        <v>0</v>
      </c>
      <c r="E18" s="123">
        <f>'Cross-section'!I10</f>
        <v>0</v>
      </c>
    </row>
    <row r="19" spans="2:5" ht="16.95" customHeight="1" x14ac:dyDescent="0.25">
      <c r="B19" s="40" t="s">
        <v>76</v>
      </c>
      <c r="C19" s="121">
        <f>'Cross-section'!G11</f>
        <v>1.5472876284636357</v>
      </c>
      <c r="D19" s="122">
        <f>'Cross-section'!H11</f>
        <v>0</v>
      </c>
      <c r="E19" s="123">
        <f>'Cross-section'!I11</f>
        <v>0</v>
      </c>
    </row>
    <row r="20" spans="2:5" ht="16.95" customHeight="1" x14ac:dyDescent="0.25">
      <c r="B20" s="40" t="s">
        <v>25</v>
      </c>
      <c r="C20" s="121">
        <f>'Cross-section'!G12</f>
        <v>0.95</v>
      </c>
      <c r="D20" s="122">
        <f>'Cross-section'!H12</f>
        <v>0</v>
      </c>
      <c r="E20" s="123">
        <f>'Cross-section'!I12</f>
        <v>0</v>
      </c>
    </row>
    <row r="21" spans="2:5" ht="16.95" customHeight="1" x14ac:dyDescent="0.25">
      <c r="B21" s="40" t="s">
        <v>77</v>
      </c>
      <c r="C21" s="121">
        <f>'Cross-section'!G13</f>
        <v>0.999999999999997</v>
      </c>
      <c r="D21" s="122">
        <f>'Cross-section'!H13</f>
        <v>0</v>
      </c>
      <c r="E21" s="123">
        <f>'Cross-section'!I13</f>
        <v>0</v>
      </c>
    </row>
    <row r="22" spans="2:5" ht="16.95" customHeight="1" x14ac:dyDescent="0.25">
      <c r="B22" s="40" t="s">
        <v>78</v>
      </c>
      <c r="C22" s="121">
        <f>'Cross-section'!G14</f>
        <v>20.3</v>
      </c>
      <c r="D22" s="122">
        <f>'Cross-section'!H14</f>
        <v>0</v>
      </c>
      <c r="E22" s="123">
        <f>'Cross-section'!I14</f>
        <v>0</v>
      </c>
    </row>
    <row r="23" spans="2:5" ht="16.95" customHeight="1" thickBot="1" x14ac:dyDescent="0.3">
      <c r="B23" s="114" t="s">
        <v>79</v>
      </c>
      <c r="C23" s="121">
        <f>'Cross-section'!G15</f>
        <v>3.2428115015974441</v>
      </c>
      <c r="D23" s="122">
        <f>'Cross-section'!H15</f>
        <v>0</v>
      </c>
      <c r="E23" s="123">
        <f>'Cross-section'!I15</f>
        <v>0</v>
      </c>
    </row>
    <row r="24" spans="2:5" ht="16.95" customHeight="1" thickTop="1" x14ac:dyDescent="0.25">
      <c r="B24" s="115" t="s">
        <v>17</v>
      </c>
      <c r="C24" s="154" t="s">
        <v>54</v>
      </c>
      <c r="D24" s="155"/>
      <c r="E24" s="156"/>
    </row>
    <row r="25" spans="2:5" ht="16.95" customHeight="1" x14ac:dyDescent="0.25">
      <c r="B25" s="40" t="s">
        <v>80</v>
      </c>
      <c r="C25" s="121">
        <f>'Cross-section'!G18</f>
        <v>7.3789490534992908</v>
      </c>
      <c r="D25" s="122">
        <f>'Cross-section'!H18</f>
        <v>0</v>
      </c>
      <c r="E25" s="123">
        <f>'Cross-section'!I18</f>
        <v>0</v>
      </c>
    </row>
    <row r="26" spans="2:5" ht="16.95" customHeight="1" x14ac:dyDescent="0.25">
      <c r="B26" s="40" t="s">
        <v>81</v>
      </c>
      <c r="C26" s="121">
        <f>'Cross-section'!G19</f>
        <v>1.9198514514112786</v>
      </c>
      <c r="D26" s="122">
        <f>'Cross-section'!H19</f>
        <v>0</v>
      </c>
      <c r="E26" s="123">
        <f>'Cross-section'!I19</f>
        <v>0</v>
      </c>
    </row>
    <row r="27" spans="2:5" ht="16.95" customHeight="1" x14ac:dyDescent="0.25">
      <c r="B27" s="40" t="s">
        <v>51</v>
      </c>
      <c r="C27" s="121">
        <f>'Cross-section'!G20</f>
        <v>0.26212646834487718</v>
      </c>
      <c r="D27" s="122">
        <f>'Cross-section'!H20</f>
        <v>0</v>
      </c>
      <c r="E27" s="123">
        <f>'Cross-section'!I20</f>
        <v>0</v>
      </c>
    </row>
    <row r="28" spans="2:5" ht="16.95" customHeight="1" x14ac:dyDescent="0.25">
      <c r="B28" s="40" t="s">
        <v>82</v>
      </c>
      <c r="C28" s="121">
        <f>'Cross-section'!G21</f>
        <v>0.50324388070522508</v>
      </c>
      <c r="D28" s="122">
        <f>'Cross-section'!H21</f>
        <v>0</v>
      </c>
      <c r="E28" s="123">
        <f>'Cross-section'!I21</f>
        <v>0</v>
      </c>
    </row>
    <row r="29" spans="2:5" ht="16.95" customHeight="1" x14ac:dyDescent="0.25">
      <c r="B29" s="15" t="s">
        <v>66</v>
      </c>
      <c r="C29" s="121">
        <f>'Cross-section'!G22</f>
        <v>21.295304224677714</v>
      </c>
      <c r="D29" s="122">
        <f>'Cross-section'!H22</f>
        <v>0</v>
      </c>
      <c r="E29" s="123">
        <f>'Cross-section'!I22</f>
        <v>0</v>
      </c>
    </row>
    <row r="30" spans="2:5" ht="16.95" customHeight="1" thickBot="1" x14ac:dyDescent="0.3">
      <c r="B30" s="15" t="s">
        <v>67</v>
      </c>
      <c r="C30" s="121">
        <f>'Cross-section'!G23</f>
        <v>64.320236310468999</v>
      </c>
      <c r="D30" s="122">
        <f>'Cross-section'!H23</f>
        <v>0</v>
      </c>
      <c r="E30" s="123">
        <f>'Cross-section'!I23</f>
        <v>0</v>
      </c>
    </row>
    <row r="31" spans="2:5" ht="16.95" customHeight="1" thickTop="1" x14ac:dyDescent="0.25">
      <c r="B31" s="152" t="s">
        <v>17</v>
      </c>
      <c r="C31" s="149" t="s">
        <v>57</v>
      </c>
      <c r="D31" s="150"/>
      <c r="E31" s="151"/>
    </row>
    <row r="32" spans="2:5" ht="16.95" customHeight="1" thickBot="1" x14ac:dyDescent="0.3">
      <c r="B32" s="153"/>
      <c r="C32" s="116" t="s">
        <v>18</v>
      </c>
      <c r="D32" s="116" t="s">
        <v>19</v>
      </c>
      <c r="E32" s="116" t="s">
        <v>20</v>
      </c>
    </row>
    <row r="33" spans="2:5" ht="16.95" customHeight="1" thickTop="1" x14ac:dyDescent="0.25">
      <c r="B33" s="40" t="s">
        <v>86</v>
      </c>
      <c r="C33" s="13">
        <f>'Planform Geometry'!H7</f>
        <v>49</v>
      </c>
      <c r="D33" s="13">
        <f>'Planform Geometry'!I7</f>
        <v>53</v>
      </c>
      <c r="E33" s="13">
        <f>'Planform Geometry'!J7</f>
        <v>54</v>
      </c>
    </row>
    <row r="34" spans="2:5" ht="16.95" customHeight="1" x14ac:dyDescent="0.25">
      <c r="B34" s="40" t="s">
        <v>92</v>
      </c>
      <c r="C34" s="14" t="e">
        <f>C33/$D$15</f>
        <v>#DIV/0!</v>
      </c>
      <c r="D34" s="14" t="e">
        <f t="shared" ref="D34:E34" si="0">D33/$D$15</f>
        <v>#DIV/0!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26</v>
      </c>
      <c r="D35" s="13">
        <f>+'Planform Geometry'!I8</f>
        <v>30</v>
      </c>
      <c r="E35" s="13">
        <f>+'Planform Geometry'!J8</f>
        <v>30</v>
      </c>
    </row>
    <row r="36" spans="2:5" ht="16.95" customHeight="1" x14ac:dyDescent="0.25">
      <c r="B36" s="40" t="s">
        <v>93</v>
      </c>
      <c r="C36" s="14" t="e">
        <f>C35/$D$15</f>
        <v>#DIV/0!</v>
      </c>
      <c r="D36" s="14" t="e">
        <f t="shared" ref="D36" si="1">D35/$D$15</f>
        <v>#DIV/0!</v>
      </c>
      <c r="E36" s="14" t="e">
        <f t="shared" ref="E36" si="2">E35/$D$15</f>
        <v>#DIV/0!</v>
      </c>
    </row>
    <row r="37" spans="2:5" ht="16.95" customHeight="1" x14ac:dyDescent="0.25">
      <c r="B37" s="40" t="s">
        <v>87</v>
      </c>
      <c r="C37" s="13">
        <f>+'Planform Geometry'!H9</f>
        <v>13</v>
      </c>
      <c r="D37" s="13">
        <f>+'Planform Geometry'!I9</f>
        <v>14</v>
      </c>
      <c r="E37" s="13">
        <f>+'Planform Geometry'!J9</f>
        <v>17</v>
      </c>
    </row>
    <row r="38" spans="2:5" ht="16.95" customHeight="1" thickBot="1" x14ac:dyDescent="0.3">
      <c r="B38" s="114" t="s">
        <v>94</v>
      </c>
      <c r="C38" s="14" t="e">
        <f>C37/$D$15</f>
        <v>#DIV/0!</v>
      </c>
      <c r="D38" s="14" t="e">
        <f t="shared" ref="D38" si="3">D37/$D$15</f>
        <v>#DIV/0!</v>
      </c>
      <c r="E38" s="14" t="e">
        <f>E37/$D$15</f>
        <v>#DIV/0!</v>
      </c>
    </row>
    <row r="39" spans="2:5" ht="16.95" customHeight="1" thickTop="1" x14ac:dyDescent="0.25">
      <c r="B39" s="152" t="s">
        <v>17</v>
      </c>
      <c r="C39" s="149" t="s">
        <v>58</v>
      </c>
      <c r="D39" s="150"/>
      <c r="E39" s="151"/>
    </row>
    <row r="40" spans="2:5" ht="16.95" customHeight="1" thickBot="1" x14ac:dyDescent="0.3">
      <c r="B40" s="153"/>
      <c r="C40" s="116" t="s">
        <v>18</v>
      </c>
      <c r="D40" s="116" t="s">
        <v>19</v>
      </c>
      <c r="E40" s="116" t="s">
        <v>20</v>
      </c>
    </row>
    <row r="41" spans="2:5" ht="16.95" customHeight="1" thickTop="1" x14ac:dyDescent="0.25">
      <c r="B41" s="40" t="s">
        <v>95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96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97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98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99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100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101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H3" sqref="H3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5" t="s">
        <v>14</v>
      </c>
      <c r="C3" s="117"/>
      <c r="D3" s="117"/>
      <c r="E3" s="117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3" t="s">
        <v>17</v>
      </c>
      <c r="C5" s="164"/>
      <c r="D5" s="164"/>
      <c r="E5" s="164"/>
      <c r="F5" s="165"/>
      <c r="G5" s="163" t="s">
        <v>64</v>
      </c>
      <c r="H5" s="164"/>
      <c r="I5" s="165"/>
      <c r="K5" s="5"/>
      <c r="L5" s="5"/>
    </row>
    <row r="6" spans="2:12" ht="16.5" customHeight="1" x14ac:dyDescent="0.25">
      <c r="B6" s="172" t="s">
        <v>71</v>
      </c>
      <c r="C6" s="173"/>
      <c r="D6" s="173"/>
      <c r="E6" s="173"/>
      <c r="F6" s="174"/>
      <c r="G6" s="160">
        <f>K30</f>
        <v>3.8435000000000219</v>
      </c>
      <c r="H6" s="161"/>
      <c r="I6" s="162"/>
      <c r="K6" s="5"/>
      <c r="L6" s="5"/>
    </row>
    <row r="7" spans="2:12" ht="16.5" customHeight="1" x14ac:dyDescent="0.25">
      <c r="B7" s="172" t="s">
        <v>72</v>
      </c>
      <c r="C7" s="173"/>
      <c r="D7" s="173"/>
      <c r="E7" s="173"/>
      <c r="F7" s="174"/>
      <c r="G7" s="160">
        <f t="shared" ref="G7:G15" si="0">K31</f>
        <v>6.26</v>
      </c>
      <c r="H7" s="161"/>
      <c r="I7" s="162"/>
      <c r="J7" s="12"/>
      <c r="K7" s="5"/>
      <c r="L7" s="5"/>
    </row>
    <row r="8" spans="2:12" ht="16.5" customHeight="1" x14ac:dyDescent="0.25">
      <c r="B8" s="172" t="s">
        <v>73</v>
      </c>
      <c r="C8" s="173"/>
      <c r="D8" s="173"/>
      <c r="E8" s="173"/>
      <c r="F8" s="174"/>
      <c r="G8" s="160">
        <f t="shared" si="0"/>
        <v>0.61397763578275111</v>
      </c>
      <c r="H8" s="161"/>
      <c r="I8" s="162"/>
      <c r="J8" s="12"/>
      <c r="K8" s="5"/>
      <c r="L8" s="5"/>
    </row>
    <row r="9" spans="2:12" ht="16.5" customHeight="1" x14ac:dyDescent="0.25">
      <c r="B9" s="172" t="s">
        <v>74</v>
      </c>
      <c r="C9" s="173"/>
      <c r="D9" s="173"/>
      <c r="E9" s="173"/>
      <c r="F9" s="174"/>
      <c r="G9" s="160">
        <f t="shared" si="0"/>
        <v>10.195811109665611</v>
      </c>
      <c r="H9" s="161"/>
      <c r="I9" s="162"/>
      <c r="J9" s="12"/>
      <c r="K9" s="5"/>
      <c r="L9" s="5"/>
    </row>
    <row r="10" spans="2:12" ht="16.5" customHeight="1" x14ac:dyDescent="0.25">
      <c r="B10" s="172" t="s">
        <v>75</v>
      </c>
      <c r="C10" s="173"/>
      <c r="D10" s="173"/>
      <c r="E10" s="173"/>
      <c r="F10" s="174"/>
      <c r="G10" s="160">
        <f t="shared" si="0"/>
        <v>0.95000000000000284</v>
      </c>
      <c r="H10" s="161"/>
      <c r="I10" s="162"/>
      <c r="J10" s="12"/>
      <c r="K10" s="5"/>
      <c r="L10" s="5"/>
    </row>
    <row r="11" spans="2:12" ht="16.5" customHeight="1" x14ac:dyDescent="0.25">
      <c r="B11" s="172" t="s">
        <v>76</v>
      </c>
      <c r="C11" s="173"/>
      <c r="D11" s="173"/>
      <c r="E11" s="173"/>
      <c r="F11" s="174"/>
      <c r="G11" s="160">
        <f t="shared" si="0"/>
        <v>1.5472876284636357</v>
      </c>
      <c r="H11" s="161"/>
      <c r="I11" s="162"/>
      <c r="J11" s="12"/>
      <c r="K11" s="5"/>
      <c r="L11" s="5"/>
    </row>
    <row r="12" spans="2:12" ht="16.5" customHeight="1" x14ac:dyDescent="0.25">
      <c r="B12" s="169" t="s">
        <v>25</v>
      </c>
      <c r="C12" s="170"/>
      <c r="D12" s="170"/>
      <c r="E12" s="170"/>
      <c r="F12" s="171"/>
      <c r="G12" s="160">
        <f t="shared" si="0"/>
        <v>0.95</v>
      </c>
      <c r="H12" s="161"/>
      <c r="I12" s="162"/>
      <c r="J12" s="12"/>
      <c r="K12" s="5"/>
      <c r="L12" s="5"/>
    </row>
    <row r="13" spans="2:12" ht="16.5" customHeight="1" x14ac:dyDescent="0.25">
      <c r="B13" s="169" t="s">
        <v>77</v>
      </c>
      <c r="C13" s="170"/>
      <c r="D13" s="170"/>
      <c r="E13" s="170"/>
      <c r="F13" s="171"/>
      <c r="G13" s="160">
        <f t="shared" si="0"/>
        <v>0.999999999999997</v>
      </c>
      <c r="H13" s="161"/>
      <c r="I13" s="162"/>
      <c r="J13" s="12"/>
      <c r="K13" s="5"/>
      <c r="L13" s="5"/>
    </row>
    <row r="14" spans="2:12" ht="16.5" customHeight="1" x14ac:dyDescent="0.25">
      <c r="B14" s="166" t="s">
        <v>78</v>
      </c>
      <c r="C14" s="167"/>
      <c r="D14" s="167"/>
      <c r="E14" s="167"/>
      <c r="F14" s="168"/>
      <c r="G14" s="160">
        <f t="shared" si="0"/>
        <v>20.3</v>
      </c>
      <c r="H14" s="161"/>
      <c r="I14" s="162"/>
      <c r="J14" s="12"/>
      <c r="K14" s="5"/>
      <c r="L14" s="5"/>
    </row>
    <row r="15" spans="2:12" ht="16.5" customHeight="1" x14ac:dyDescent="0.25">
      <c r="B15" s="172" t="s">
        <v>79</v>
      </c>
      <c r="C15" s="173"/>
      <c r="D15" s="173"/>
      <c r="E15" s="173"/>
      <c r="F15" s="174"/>
      <c r="G15" s="160">
        <f t="shared" si="0"/>
        <v>3.2428115015974441</v>
      </c>
      <c r="H15" s="161"/>
      <c r="I15" s="162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3" t="s">
        <v>17</v>
      </c>
      <c r="C17" s="164"/>
      <c r="D17" s="164"/>
      <c r="E17" s="164"/>
      <c r="F17" s="165"/>
      <c r="G17" s="163" t="s">
        <v>54</v>
      </c>
      <c r="H17" s="164"/>
      <c r="I17" s="165"/>
      <c r="K17" s="5"/>
      <c r="L17" s="5"/>
    </row>
    <row r="18" spans="2:12" ht="16.5" customHeight="1" x14ac:dyDescent="0.25">
      <c r="B18" s="172" t="s">
        <v>80</v>
      </c>
      <c r="C18" s="173"/>
      <c r="D18" s="173"/>
      <c r="E18" s="173"/>
      <c r="F18" s="174"/>
      <c r="G18" s="157">
        <f>K44</f>
        <v>7.3789490534992908</v>
      </c>
      <c r="H18" s="158"/>
      <c r="I18" s="159"/>
      <c r="K18" s="5"/>
      <c r="L18" s="5"/>
    </row>
    <row r="19" spans="2:12" ht="16.5" customHeight="1" x14ac:dyDescent="0.25">
      <c r="B19" s="172" t="s">
        <v>81</v>
      </c>
      <c r="C19" s="173"/>
      <c r="D19" s="173"/>
      <c r="E19" s="173"/>
      <c r="F19" s="174"/>
      <c r="G19" s="121">
        <f t="shared" ref="G19:G23" si="1">K45</f>
        <v>1.9198514514112786</v>
      </c>
      <c r="H19" s="122"/>
      <c r="I19" s="123"/>
      <c r="K19" s="5"/>
      <c r="L19" s="5"/>
    </row>
    <row r="20" spans="2:12" ht="16.5" customHeight="1" x14ac:dyDescent="0.25">
      <c r="B20" s="172" t="s">
        <v>82</v>
      </c>
      <c r="C20" s="173"/>
      <c r="D20" s="173"/>
      <c r="E20" s="173"/>
      <c r="F20" s="174"/>
      <c r="G20" s="121">
        <f t="shared" si="1"/>
        <v>0.26212646834487718</v>
      </c>
      <c r="H20" s="122"/>
      <c r="I20" s="123"/>
      <c r="J20" s="2"/>
      <c r="K20" s="5"/>
      <c r="L20" s="5"/>
    </row>
    <row r="21" spans="2:12" ht="16.5" customHeight="1" x14ac:dyDescent="0.25">
      <c r="B21" s="172" t="s">
        <v>49</v>
      </c>
      <c r="C21" s="173"/>
      <c r="D21" s="173"/>
      <c r="E21" s="173"/>
      <c r="F21" s="174"/>
      <c r="G21" s="121">
        <f t="shared" si="1"/>
        <v>0.50324388070522508</v>
      </c>
      <c r="H21" s="122"/>
      <c r="I21" s="123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7">
        <f t="shared" si="1"/>
        <v>21.295304224677714</v>
      </c>
      <c r="H22" s="158"/>
      <c r="I22" s="159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7">
        <f t="shared" si="1"/>
        <v>64.320236310468999</v>
      </c>
      <c r="H23" s="158"/>
      <c r="I23" s="159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6">
        <v>26</v>
      </c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2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8"/>
      <c r="C29" s="119">
        <v>0</v>
      </c>
      <c r="D29" s="120"/>
      <c r="E29" s="30">
        <v>101.26</v>
      </c>
      <c r="F29" s="31">
        <f t="shared" ref="F29:F38" si="2">IF(E29&gt;0,IF(E29&lt;K$29,K$29-E29,0),0)</f>
        <v>0</v>
      </c>
      <c r="G29" s="32">
        <f t="shared" ref="G29:G38" si="3">IF(E29&gt;0,IF(E29&lt;=K$29,C29-C28,0),0)</f>
        <v>0</v>
      </c>
      <c r="H29" s="31">
        <f t="shared" ref="H29:H38" si="4">IF(E29&lt;=K$29,G29*(F28+F29)/2,0)</f>
        <v>0</v>
      </c>
      <c r="J29" s="33" t="s">
        <v>15</v>
      </c>
      <c r="K29" s="34">
        <f>LOOKUP("LBKF",B29:E51)</f>
        <v>98.18</v>
      </c>
      <c r="L29" s="35"/>
    </row>
    <row r="30" spans="2:12" ht="16.5" customHeight="1" x14ac:dyDescent="0.25">
      <c r="B30" s="118"/>
      <c r="C30" s="119">
        <v>1.24</v>
      </c>
      <c r="D30" s="120"/>
      <c r="E30" s="30">
        <v>99.09</v>
      </c>
      <c r="F30" s="31">
        <f t="shared" si="2"/>
        <v>0</v>
      </c>
      <c r="G30" s="32">
        <f t="shared" si="3"/>
        <v>0</v>
      </c>
      <c r="H30" s="31">
        <f t="shared" si="4"/>
        <v>0</v>
      </c>
      <c r="J30" s="37" t="s">
        <v>71</v>
      </c>
      <c r="K30" s="11">
        <f>SUM(H29:H51)</f>
        <v>3.8435000000000219</v>
      </c>
      <c r="L30" s="35"/>
    </row>
    <row r="31" spans="2:12" ht="16.5" customHeight="1" x14ac:dyDescent="0.25">
      <c r="B31" s="118"/>
      <c r="C31" s="119">
        <v>6.76</v>
      </c>
      <c r="D31" s="120"/>
      <c r="E31" s="30">
        <v>98.71</v>
      </c>
      <c r="F31" s="31">
        <f t="shared" si="2"/>
        <v>0</v>
      </c>
      <c r="G31" s="32">
        <f t="shared" si="3"/>
        <v>0</v>
      </c>
      <c r="H31" s="31">
        <f t="shared" si="4"/>
        <v>0</v>
      </c>
      <c r="J31" s="37" t="s">
        <v>72</v>
      </c>
      <c r="K31" s="11">
        <f>LOOKUP("RBKF",B29:C51)-LOOKUP("LBKF",B29:C51)</f>
        <v>6.26</v>
      </c>
      <c r="L31" s="35"/>
    </row>
    <row r="32" spans="2:12" ht="16.5" customHeight="1" x14ac:dyDescent="0.25">
      <c r="B32" s="118" t="s">
        <v>2</v>
      </c>
      <c r="C32" s="119">
        <v>7.9</v>
      </c>
      <c r="D32" s="120"/>
      <c r="E32" s="30">
        <v>98.18</v>
      </c>
      <c r="F32" s="31">
        <f t="shared" si="2"/>
        <v>0</v>
      </c>
      <c r="G32" s="32">
        <f t="shared" si="3"/>
        <v>1.1400000000000006</v>
      </c>
      <c r="H32" s="31">
        <f t="shared" si="4"/>
        <v>0</v>
      </c>
      <c r="J32" s="37" t="s">
        <v>73</v>
      </c>
      <c r="K32" s="11">
        <f>K30/K31</f>
        <v>0.61397763578275111</v>
      </c>
      <c r="L32" s="35"/>
    </row>
    <row r="33" spans="2:13" ht="16.5" customHeight="1" x14ac:dyDescent="0.25">
      <c r="B33" s="118"/>
      <c r="C33" s="119">
        <v>7.95</v>
      </c>
      <c r="D33" s="120"/>
      <c r="E33" s="30">
        <v>98.17</v>
      </c>
      <c r="F33" s="31">
        <f t="shared" si="2"/>
        <v>1.0000000000005116E-2</v>
      </c>
      <c r="G33" s="32">
        <f t="shared" si="3"/>
        <v>4.9999999999999822E-2</v>
      </c>
      <c r="H33" s="31">
        <f t="shared" si="4"/>
        <v>2.5000000000012702E-4</v>
      </c>
      <c r="J33" s="37" t="s">
        <v>74</v>
      </c>
      <c r="K33" s="38">
        <f>K31/K32</f>
        <v>10.195811109665611</v>
      </c>
      <c r="L33" s="35"/>
    </row>
    <row r="34" spans="2:13" ht="16.5" customHeight="1" x14ac:dyDescent="0.25">
      <c r="B34" s="118"/>
      <c r="C34" s="119">
        <v>8.3000000000000007</v>
      </c>
      <c r="D34" s="120"/>
      <c r="E34" s="30">
        <v>97.37</v>
      </c>
      <c r="F34" s="31">
        <f t="shared" si="2"/>
        <v>0.81000000000000227</v>
      </c>
      <c r="G34" s="32">
        <f t="shared" si="3"/>
        <v>0.35000000000000053</v>
      </c>
      <c r="H34" s="31">
        <f t="shared" si="4"/>
        <v>0.14350000000000152</v>
      </c>
      <c r="J34" s="37" t="s">
        <v>75</v>
      </c>
      <c r="K34" s="11">
        <f>MAX(F29:F51)</f>
        <v>0.95000000000000284</v>
      </c>
      <c r="L34" s="35"/>
    </row>
    <row r="35" spans="2:13" ht="16.5" customHeight="1" x14ac:dyDescent="0.25">
      <c r="B35" s="118"/>
      <c r="C35" s="119">
        <v>9.94</v>
      </c>
      <c r="D35" s="120"/>
      <c r="E35" s="30">
        <v>97.23</v>
      </c>
      <c r="F35" s="31">
        <f t="shared" si="2"/>
        <v>0.95000000000000284</v>
      </c>
      <c r="G35" s="32">
        <f t="shared" si="3"/>
        <v>1.6399999999999988</v>
      </c>
      <c r="H35" s="31">
        <f t="shared" si="4"/>
        <v>1.4432000000000031</v>
      </c>
      <c r="J35" s="37" t="s">
        <v>76</v>
      </c>
      <c r="K35" s="39">
        <f>K34/K32</f>
        <v>1.5472876284636357</v>
      </c>
      <c r="L35" s="35"/>
    </row>
    <row r="36" spans="2:13" ht="16.5" customHeight="1" x14ac:dyDescent="0.25">
      <c r="B36" s="118"/>
      <c r="C36" s="119">
        <v>11.67</v>
      </c>
      <c r="D36" s="120"/>
      <c r="E36" s="30">
        <v>97.5</v>
      </c>
      <c r="F36" s="31">
        <f t="shared" si="2"/>
        <v>0.68000000000000682</v>
      </c>
      <c r="G36" s="32">
        <f t="shared" si="3"/>
        <v>1.7300000000000004</v>
      </c>
      <c r="H36" s="31">
        <f t="shared" si="4"/>
        <v>1.4099500000000087</v>
      </c>
      <c r="J36" s="40" t="s">
        <v>25</v>
      </c>
      <c r="K36" s="41">
        <v>0.95</v>
      </c>
      <c r="L36" s="35"/>
    </row>
    <row r="37" spans="2:13" ht="16.5" customHeight="1" x14ac:dyDescent="0.25">
      <c r="B37" s="118" t="s">
        <v>3</v>
      </c>
      <c r="C37" s="119">
        <v>14.16</v>
      </c>
      <c r="D37" s="120"/>
      <c r="E37" s="30">
        <v>98.18</v>
      </c>
      <c r="F37" s="31">
        <f t="shared" si="2"/>
        <v>0</v>
      </c>
      <c r="G37" s="32">
        <f t="shared" si="3"/>
        <v>2.4900000000000002</v>
      </c>
      <c r="H37" s="31">
        <f t="shared" si="4"/>
        <v>0.84660000000000857</v>
      </c>
      <c r="J37" s="40" t="s">
        <v>77</v>
      </c>
      <c r="K37" s="42">
        <f>+K36/K34</f>
        <v>0.999999999999997</v>
      </c>
      <c r="L37" s="35"/>
    </row>
    <row r="38" spans="2:13" ht="16.5" customHeight="1" x14ac:dyDescent="0.25">
      <c r="B38" s="118"/>
      <c r="C38" s="119">
        <v>18.38</v>
      </c>
      <c r="D38" s="120"/>
      <c r="E38" s="30">
        <v>98.32</v>
      </c>
      <c r="F38" s="31">
        <f t="shared" si="2"/>
        <v>0</v>
      </c>
      <c r="G38" s="32">
        <f t="shared" si="3"/>
        <v>0</v>
      </c>
      <c r="H38" s="31">
        <f t="shared" si="4"/>
        <v>0</v>
      </c>
      <c r="J38" s="43" t="s">
        <v>78</v>
      </c>
      <c r="K38" s="44">
        <v>20.3</v>
      </c>
      <c r="L38" s="35"/>
    </row>
    <row r="39" spans="2:13" ht="16.5" customHeight="1" x14ac:dyDescent="0.25">
      <c r="B39" s="118"/>
      <c r="C39" s="119">
        <v>22.97</v>
      </c>
      <c r="D39" s="120"/>
      <c r="E39" s="30">
        <v>99.66</v>
      </c>
      <c r="F39" s="31">
        <f t="shared" ref="F39" si="5">IF(E39&gt;0,IF(E39&lt;K$29,K$29-E39,0),0)</f>
        <v>0</v>
      </c>
      <c r="G39" s="32">
        <f t="shared" ref="G39" si="6">IF(E39&gt;0,IF(E39&lt;=K$29,C39-C38,0),0)</f>
        <v>0</v>
      </c>
      <c r="H39" s="31">
        <f t="shared" ref="H39" si="7">IF(E39&lt;=K$29,G39*(F38+F39)/2,0)</f>
        <v>0</v>
      </c>
      <c r="J39" s="37" t="s">
        <v>79</v>
      </c>
      <c r="K39" s="11">
        <f>K38/K31</f>
        <v>3.2428115015974441</v>
      </c>
      <c r="L39" s="35"/>
    </row>
    <row r="40" spans="2:13" ht="16.5" customHeight="1" x14ac:dyDescent="0.25">
      <c r="B40" s="118"/>
      <c r="C40" s="119"/>
      <c r="D40" s="120"/>
      <c r="E40" s="30"/>
      <c r="F40" s="31"/>
      <c r="G40" s="32"/>
      <c r="H40" s="31"/>
      <c r="J40" s="37" t="s">
        <v>8</v>
      </c>
      <c r="K40" s="107">
        <f>+'Longitudinal Profile'!$H$9</f>
        <v>8.1839438815276694E-3</v>
      </c>
      <c r="L40" s="45"/>
    </row>
    <row r="41" spans="2:13" ht="16.5" customHeight="1" x14ac:dyDescent="0.25">
      <c r="B41" s="118"/>
      <c r="C41" s="119"/>
      <c r="D41" s="120"/>
      <c r="E41" s="30"/>
      <c r="F41" s="31"/>
      <c r="G41" s="32"/>
      <c r="H41" s="31"/>
      <c r="J41" s="37" t="s">
        <v>10</v>
      </c>
      <c r="K41" s="46">
        <v>4.4999999999999998E-2</v>
      </c>
      <c r="L41" s="45"/>
    </row>
    <row r="42" spans="2:13" ht="16.5" customHeight="1" x14ac:dyDescent="0.25">
      <c r="B42" s="118"/>
      <c r="C42" s="119"/>
      <c r="D42" s="120"/>
      <c r="E42" s="30"/>
      <c r="F42" s="31"/>
      <c r="G42" s="32"/>
      <c r="H42" s="31"/>
      <c r="J42" s="37" t="s">
        <v>27</v>
      </c>
      <c r="K42" s="14">
        <f>K31+2*K32</f>
        <v>7.487955271565502</v>
      </c>
      <c r="L42" s="47"/>
      <c r="M42" s="47"/>
    </row>
    <row r="43" spans="2:13" ht="16.5" customHeight="1" x14ac:dyDescent="0.25">
      <c r="B43" s="118"/>
      <c r="C43" s="119"/>
      <c r="D43" s="120"/>
      <c r="E43" s="30"/>
      <c r="F43" s="31"/>
      <c r="G43" s="32"/>
      <c r="H43" s="31"/>
      <c r="J43" s="37" t="s">
        <v>9</v>
      </c>
      <c r="K43" s="14">
        <f>K30/K42</f>
        <v>0.51329099341647966</v>
      </c>
      <c r="L43" s="47"/>
      <c r="M43" s="47"/>
    </row>
    <row r="44" spans="2:13" ht="16.5" customHeight="1" x14ac:dyDescent="0.25">
      <c r="B44" s="118"/>
      <c r="C44" s="119"/>
      <c r="D44" s="120"/>
      <c r="E44" s="30"/>
      <c r="F44" s="31"/>
      <c r="G44" s="32"/>
      <c r="H44" s="31"/>
      <c r="J44" s="37" t="s">
        <v>80</v>
      </c>
      <c r="K44" s="14">
        <f>K30*1.49*(K43^0.667)*(K40^0.5)/K41</f>
        <v>7.3789490534992908</v>
      </c>
    </row>
    <row r="45" spans="2:13" ht="16.5" customHeight="1" x14ac:dyDescent="0.25">
      <c r="B45" s="118"/>
      <c r="C45" s="119"/>
      <c r="D45" s="120"/>
      <c r="E45" s="30"/>
      <c r="F45" s="31"/>
      <c r="G45" s="32"/>
      <c r="H45" s="31"/>
      <c r="J45" s="37" t="s">
        <v>81</v>
      </c>
      <c r="K45" s="14">
        <f>K44/K30</f>
        <v>1.9198514514112786</v>
      </c>
    </row>
    <row r="46" spans="2:13" ht="16.5" customHeight="1" x14ac:dyDescent="0.25">
      <c r="B46" s="118"/>
      <c r="C46" s="119"/>
      <c r="D46" s="120"/>
      <c r="E46" s="30"/>
      <c r="F46" s="31"/>
      <c r="G46" s="32"/>
      <c r="H46" s="31"/>
      <c r="J46" s="37" t="s">
        <v>82</v>
      </c>
      <c r="K46" s="42">
        <f>62.4*K43*K40</f>
        <v>0.26212646834487718</v>
      </c>
    </row>
    <row r="47" spans="2:13" ht="16.5" customHeight="1" x14ac:dyDescent="0.25">
      <c r="B47" s="118"/>
      <c r="C47" s="119"/>
      <c r="D47" s="120"/>
      <c r="E47" s="30"/>
      <c r="F47" s="31"/>
      <c r="G47" s="32"/>
      <c r="H47" s="31"/>
      <c r="J47" s="37" t="s">
        <v>49</v>
      </c>
      <c r="K47" s="42">
        <f>K46*K45</f>
        <v>0.50324388070522508</v>
      </c>
    </row>
    <row r="48" spans="2:13" ht="16.5" customHeight="1" x14ac:dyDescent="0.25">
      <c r="B48" s="118"/>
      <c r="C48" s="119"/>
      <c r="D48" s="120"/>
      <c r="E48" s="30"/>
      <c r="F48" s="31"/>
      <c r="G48" s="32"/>
      <c r="H48" s="31"/>
      <c r="J48" s="15" t="s">
        <v>55</v>
      </c>
      <c r="K48" s="48">
        <f>77.966*(K46*1.042)</f>
        <v>21.295304224677714</v>
      </c>
    </row>
    <row r="49" spans="2:11" ht="16.5" customHeight="1" x14ac:dyDescent="0.25">
      <c r="B49" s="118"/>
      <c r="C49" s="119"/>
      <c r="D49" s="120"/>
      <c r="E49" s="30"/>
      <c r="F49" s="31"/>
      <c r="G49" s="32"/>
      <c r="H49" s="31"/>
      <c r="J49" s="15" t="s">
        <v>56</v>
      </c>
      <c r="K49" s="48">
        <f>253.7*(K46*0.9672)</f>
        <v>64.320236310468999</v>
      </c>
    </row>
    <row r="50" spans="2:11" ht="16.5" customHeight="1" x14ac:dyDescent="0.25">
      <c r="B50" s="118"/>
      <c r="C50" s="119"/>
      <c r="D50" s="120"/>
      <c r="E50" s="30"/>
      <c r="F50" s="31"/>
      <c r="G50" s="32"/>
      <c r="H50" s="31"/>
      <c r="J50" s="2"/>
    </row>
    <row r="51" spans="2:11" ht="16.5" customHeight="1" x14ac:dyDescent="0.25">
      <c r="B51" s="118"/>
      <c r="C51" s="119"/>
      <c r="D51" s="120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F2" sqref="F2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8" t="s">
        <v>17</v>
      </c>
      <c r="K5" s="179"/>
      <c r="L5" s="182" t="s">
        <v>47</v>
      </c>
      <c r="M5" s="183"/>
      <c r="N5" s="183"/>
      <c r="O5" s="183"/>
      <c r="P5" s="183"/>
      <c r="Q5" s="183"/>
      <c r="R5" s="183"/>
      <c r="S5" s="184"/>
      <c r="T5" s="177" t="s">
        <v>34</v>
      </c>
      <c r="U5" s="177"/>
      <c r="V5" s="177"/>
    </row>
    <row r="6" spans="2:22" ht="16.5" customHeight="1" thickTop="1" thickBot="1" x14ac:dyDescent="0.35">
      <c r="B6" s="71" t="s">
        <v>12</v>
      </c>
      <c r="C6" s="72"/>
      <c r="D6" s="73"/>
      <c r="F6" s="180" t="s">
        <v>28</v>
      </c>
      <c r="G6" s="181"/>
      <c r="H6" s="72">
        <f>H7/H11</f>
        <v>121.0377358490566</v>
      </c>
      <c r="I6" s="70"/>
      <c r="J6" s="179"/>
      <c r="K6" s="179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128.30000000000001</v>
      </c>
      <c r="I7" s="67"/>
      <c r="J7" s="178" t="s">
        <v>84</v>
      </c>
      <c r="K7" s="178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89</v>
      </c>
      <c r="D8" s="102"/>
      <c r="F8" s="75" t="s">
        <v>30</v>
      </c>
      <c r="G8" s="76"/>
      <c r="H8" s="31">
        <v>1.05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90</v>
      </c>
      <c r="D9" s="22"/>
      <c r="F9" s="75" t="s">
        <v>31</v>
      </c>
      <c r="G9" s="76"/>
      <c r="H9" s="79">
        <f>H8/H7</f>
        <v>8.1839438815276694E-3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91</v>
      </c>
      <c r="D10" s="22"/>
      <c r="F10" s="75" t="s">
        <v>32</v>
      </c>
      <c r="G10" s="76"/>
      <c r="H10" s="79">
        <f>H9*H11</f>
        <v>8.6749805144193306E-3</v>
      </c>
      <c r="I10" s="80"/>
      <c r="J10" s="60" t="s">
        <v>85</v>
      </c>
      <c r="K10" s="81"/>
      <c r="L10" s="82"/>
      <c r="M10" s="82"/>
      <c r="N10" s="82"/>
      <c r="O10" s="82"/>
      <c r="P10" s="82"/>
      <c r="Q10" s="82"/>
      <c r="R10" s="82"/>
      <c r="S10" s="82"/>
      <c r="T10" s="62">
        <f>MIN(L10:P10)</f>
        <v>0</v>
      </c>
      <c r="U10" s="62" t="e">
        <f>MEDIAN(L10:P10)</f>
        <v>#NUM!</v>
      </c>
      <c r="V10" s="62">
        <f>MAX(L10:P10)</f>
        <v>0</v>
      </c>
    </row>
    <row r="11" spans="2:22" ht="16.5" customHeight="1" x14ac:dyDescent="0.3">
      <c r="B11" s="2"/>
      <c r="C11" s="50"/>
      <c r="D11" s="50"/>
      <c r="F11" s="175" t="s">
        <v>33</v>
      </c>
      <c r="G11" s="176"/>
      <c r="H11" s="31">
        <v>1.06</v>
      </c>
      <c r="I11" s="80"/>
      <c r="J11" s="54"/>
      <c r="K11" s="83"/>
      <c r="L11" s="83"/>
      <c r="M11" s="83"/>
      <c r="N11" s="83"/>
      <c r="O11" s="83"/>
      <c r="P11" s="83"/>
      <c r="Q11" s="83"/>
      <c r="R11" s="83"/>
    </row>
    <row r="12" spans="2:22" ht="16.5" customHeight="1" x14ac:dyDescent="0.3">
      <c r="B12" s="2"/>
      <c r="C12" s="50"/>
      <c r="D12" s="50"/>
      <c r="I12" s="80"/>
      <c r="J12" s="54"/>
      <c r="K12" s="83"/>
      <c r="L12" s="83"/>
      <c r="M12" s="83"/>
      <c r="N12" s="83"/>
      <c r="O12" s="83"/>
      <c r="P12" s="83"/>
      <c r="Q12" s="83"/>
      <c r="R12" s="83"/>
    </row>
    <row r="13" spans="2:22" ht="16.5" customHeight="1" x14ac:dyDescent="0.3">
      <c r="B13" s="2"/>
      <c r="C13" s="50"/>
      <c r="D13" s="50"/>
      <c r="E13" s="84"/>
      <c r="F13" s="84"/>
      <c r="G13" s="67"/>
      <c r="H13" s="54"/>
      <c r="I13" s="80"/>
      <c r="J13" s="54"/>
      <c r="K13" s="83"/>
      <c r="L13" s="83"/>
      <c r="M13" s="83"/>
      <c r="N13" s="83"/>
      <c r="O13" s="83"/>
      <c r="P13" s="83"/>
      <c r="Q13" s="83"/>
      <c r="R13" s="83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>
        <v>0</v>
      </c>
      <c r="D15" s="36"/>
      <c r="E15" s="30">
        <v>97.46</v>
      </c>
      <c r="F15" s="36"/>
      <c r="G15" s="30">
        <v>97.8</v>
      </c>
      <c r="H15" s="36"/>
      <c r="I15" s="30"/>
      <c r="J15" s="36"/>
      <c r="K15" s="30"/>
      <c r="L15" s="30"/>
      <c r="M15" s="30"/>
      <c r="N15" s="30"/>
      <c r="O15" s="85"/>
      <c r="P15" s="85"/>
    </row>
    <row r="16" spans="2:22" ht="16.5" customHeight="1" x14ac:dyDescent="0.3">
      <c r="B16" s="56"/>
      <c r="C16" s="29">
        <v>9.84</v>
      </c>
      <c r="D16" s="36"/>
      <c r="E16" s="30">
        <v>97.4</v>
      </c>
      <c r="F16" s="36"/>
      <c r="G16" s="30">
        <v>97.77</v>
      </c>
      <c r="H16" s="36"/>
      <c r="I16" s="30"/>
      <c r="J16" s="36"/>
      <c r="K16" s="30"/>
      <c r="L16" s="11">
        <f t="shared" ref="L16:L30" si="0">C16-C15</f>
        <v>9.84</v>
      </c>
      <c r="M16" s="30">
        <f t="shared" ref="M16:M30" si="1">-(G16-G15)</f>
        <v>3.0000000000001137E-2</v>
      </c>
      <c r="N16" s="86">
        <f>M16/L16</f>
        <v>3.0487804878049935E-3</v>
      </c>
      <c r="O16" s="87"/>
      <c r="P16" s="87"/>
    </row>
    <row r="17" spans="2:16" ht="16.5" customHeight="1" x14ac:dyDescent="0.3">
      <c r="B17" s="56"/>
      <c r="C17" s="29">
        <v>19.38</v>
      </c>
      <c r="D17" s="36"/>
      <c r="E17" s="30">
        <v>97.41</v>
      </c>
      <c r="F17" s="36"/>
      <c r="G17" s="30">
        <v>97.71</v>
      </c>
      <c r="H17" s="36"/>
      <c r="I17" s="30"/>
      <c r="J17" s="36"/>
      <c r="K17" s="30"/>
      <c r="L17" s="11">
        <f t="shared" si="0"/>
        <v>9.5399999999999991</v>
      </c>
      <c r="M17" s="30">
        <f t="shared" si="1"/>
        <v>6.0000000000002274E-2</v>
      </c>
      <c r="N17" s="86">
        <f t="shared" ref="N17:N27" si="2">M17/L17</f>
        <v>6.2893081761008678E-3</v>
      </c>
      <c r="O17" s="87"/>
      <c r="P17" s="87"/>
    </row>
    <row r="18" spans="2:16" ht="16.5" customHeight="1" x14ac:dyDescent="0.3">
      <c r="B18" s="56"/>
      <c r="C18" s="29">
        <v>22.57</v>
      </c>
      <c r="D18" s="36"/>
      <c r="E18" s="30">
        <v>97.14</v>
      </c>
      <c r="F18" s="36"/>
      <c r="G18" s="30">
        <v>97.72</v>
      </c>
      <c r="H18" s="36"/>
      <c r="I18" s="30"/>
      <c r="J18" s="36"/>
      <c r="K18" s="30"/>
      <c r="L18" s="11">
        <f t="shared" si="0"/>
        <v>3.1900000000000013</v>
      </c>
      <c r="M18" s="30">
        <f t="shared" si="1"/>
        <v>-1.0000000000005116E-2</v>
      </c>
      <c r="N18" s="86">
        <f t="shared" si="2"/>
        <v>-3.1347962382461164E-3</v>
      </c>
      <c r="O18" s="87"/>
      <c r="P18" s="87"/>
    </row>
    <row r="19" spans="2:16" ht="16.5" customHeight="1" x14ac:dyDescent="0.3">
      <c r="B19" s="56"/>
      <c r="C19" s="29">
        <v>28.02</v>
      </c>
      <c r="D19" s="36"/>
      <c r="E19" s="30">
        <v>97.18</v>
      </c>
      <c r="F19" s="36"/>
      <c r="G19" s="30"/>
      <c r="H19" s="36"/>
      <c r="I19" s="30"/>
      <c r="J19" s="36"/>
      <c r="K19" s="30"/>
      <c r="L19" s="11">
        <f t="shared" si="0"/>
        <v>5.4499999999999993</v>
      </c>
      <c r="M19" s="30">
        <f t="shared" si="1"/>
        <v>97.72</v>
      </c>
      <c r="N19" s="86">
        <f t="shared" si="2"/>
        <v>17.9302752293578</v>
      </c>
      <c r="O19" s="87"/>
      <c r="P19" s="87"/>
    </row>
    <row r="20" spans="2:16" ht="16.5" customHeight="1" x14ac:dyDescent="0.3">
      <c r="B20" s="56"/>
      <c r="C20" s="29">
        <v>32.56</v>
      </c>
      <c r="D20" s="36"/>
      <c r="E20" s="30">
        <v>97.34</v>
      </c>
      <c r="F20" s="36"/>
      <c r="G20" s="30">
        <v>97.55</v>
      </c>
      <c r="H20" s="36"/>
      <c r="I20" s="30"/>
      <c r="J20" s="36"/>
      <c r="K20" s="30"/>
      <c r="L20" s="11">
        <f t="shared" si="0"/>
        <v>4.5400000000000027</v>
      </c>
      <c r="M20" s="30">
        <f t="shared" si="1"/>
        <v>-97.55</v>
      </c>
      <c r="N20" s="86">
        <f t="shared" si="2"/>
        <v>-21.486784140969149</v>
      </c>
      <c r="O20" s="87"/>
      <c r="P20" s="87"/>
    </row>
    <row r="21" spans="2:16" ht="16.5" customHeight="1" x14ac:dyDescent="0.3">
      <c r="B21" s="56"/>
      <c r="C21" s="29">
        <v>38.67</v>
      </c>
      <c r="D21" s="36"/>
      <c r="E21" s="30">
        <v>97.13</v>
      </c>
      <c r="F21" s="36"/>
      <c r="G21" s="30"/>
      <c r="H21" s="36"/>
      <c r="I21" s="30"/>
      <c r="J21" s="36"/>
      <c r="K21" s="30"/>
      <c r="L21" s="11">
        <f t="shared" si="0"/>
        <v>6.1099999999999994</v>
      </c>
      <c r="M21" s="30">
        <f t="shared" si="1"/>
        <v>97.55</v>
      </c>
      <c r="N21" s="86">
        <f t="shared" si="2"/>
        <v>15.965630114566286</v>
      </c>
      <c r="O21" s="87"/>
      <c r="P21" s="87"/>
    </row>
    <row r="22" spans="2:16" ht="16.5" customHeight="1" x14ac:dyDescent="0.3">
      <c r="B22" s="56"/>
      <c r="C22" s="29">
        <v>41.3</v>
      </c>
      <c r="D22" s="36"/>
      <c r="E22" s="30">
        <v>96.99</v>
      </c>
      <c r="F22" s="36"/>
      <c r="G22" s="30">
        <v>97.53</v>
      </c>
      <c r="H22" s="36"/>
      <c r="I22" s="30"/>
      <c r="J22" s="36"/>
      <c r="K22" s="30"/>
      <c r="L22" s="11">
        <f t="shared" si="0"/>
        <v>2.6299999999999955</v>
      </c>
      <c r="M22" s="30">
        <f t="shared" si="1"/>
        <v>-97.53</v>
      </c>
      <c r="N22" s="86">
        <f t="shared" si="2"/>
        <v>-37.083650190114135</v>
      </c>
      <c r="O22" s="87"/>
      <c r="P22" s="87"/>
    </row>
    <row r="23" spans="2:16" ht="16.5" customHeight="1" x14ac:dyDescent="0.3">
      <c r="B23" s="56"/>
      <c r="C23" s="29">
        <v>46.8</v>
      </c>
      <c r="D23" s="36"/>
      <c r="E23" s="30">
        <v>97.16</v>
      </c>
      <c r="F23" s="36"/>
      <c r="G23" s="30">
        <v>97.42</v>
      </c>
      <c r="H23" s="36"/>
      <c r="I23" s="30"/>
      <c r="J23" s="36"/>
      <c r="K23" s="30"/>
      <c r="L23" s="11">
        <f t="shared" si="0"/>
        <v>5.5</v>
      </c>
      <c r="M23" s="30">
        <f t="shared" si="1"/>
        <v>0.10999999999999943</v>
      </c>
      <c r="N23" s="86">
        <f t="shared" si="2"/>
        <v>1.9999999999999896E-2</v>
      </c>
      <c r="O23" s="87"/>
      <c r="P23" s="87"/>
    </row>
    <row r="24" spans="2:16" ht="16.5" customHeight="1" x14ac:dyDescent="0.3">
      <c r="B24" s="56"/>
      <c r="C24" s="29">
        <v>56.69</v>
      </c>
      <c r="D24" s="36"/>
      <c r="E24" s="30">
        <v>97.13</v>
      </c>
      <c r="F24" s="36"/>
      <c r="G24" s="30">
        <v>97.37</v>
      </c>
      <c r="H24" s="36"/>
      <c r="I24" s="30"/>
      <c r="J24" s="36"/>
      <c r="K24" s="30"/>
      <c r="L24" s="11">
        <f t="shared" si="0"/>
        <v>9.89</v>
      </c>
      <c r="M24" s="30">
        <f t="shared" si="1"/>
        <v>4.9999999999997158E-2</v>
      </c>
      <c r="N24" s="86">
        <f t="shared" si="2"/>
        <v>5.055611729018924E-3</v>
      </c>
      <c r="O24" s="87"/>
      <c r="P24" s="87"/>
    </row>
    <row r="25" spans="2:16" ht="16.5" customHeight="1" x14ac:dyDescent="0.3">
      <c r="B25" s="56"/>
      <c r="C25" s="29">
        <v>62.13</v>
      </c>
      <c r="D25" s="36"/>
      <c r="E25" s="30">
        <v>96.85</v>
      </c>
      <c r="F25" s="36"/>
      <c r="G25" s="30">
        <v>97.34</v>
      </c>
      <c r="H25" s="36"/>
      <c r="I25" s="30"/>
      <c r="J25" s="36"/>
      <c r="K25" s="30"/>
      <c r="L25" s="11">
        <f t="shared" si="0"/>
        <v>5.4400000000000048</v>
      </c>
      <c r="M25" s="30">
        <f t="shared" si="1"/>
        <v>3.0000000000001137E-2</v>
      </c>
      <c r="N25" s="86">
        <f t="shared" si="2"/>
        <v>5.5147058823531454E-3</v>
      </c>
      <c r="O25" s="87"/>
      <c r="P25" s="87"/>
    </row>
    <row r="26" spans="2:16" ht="16.5" customHeight="1" x14ac:dyDescent="0.3">
      <c r="B26" s="56"/>
      <c r="C26" s="29">
        <v>65.61</v>
      </c>
      <c r="D26" s="36"/>
      <c r="E26" s="30">
        <v>96.76</v>
      </c>
      <c r="F26" s="36"/>
      <c r="G26" s="30">
        <v>97.31</v>
      </c>
      <c r="H26" s="36"/>
      <c r="I26" s="30"/>
      <c r="J26" s="36"/>
      <c r="K26" s="30"/>
      <c r="L26" s="11">
        <f t="shared" si="0"/>
        <v>3.4799999999999969</v>
      </c>
      <c r="M26" s="30">
        <f t="shared" si="1"/>
        <v>3.0000000000001137E-2</v>
      </c>
      <c r="N26" s="86">
        <f t="shared" si="2"/>
        <v>8.6206896551727485E-3</v>
      </c>
      <c r="O26" s="87"/>
      <c r="P26" s="87"/>
    </row>
    <row r="27" spans="2:16" ht="16.5" customHeight="1" x14ac:dyDescent="0.3">
      <c r="B27" s="56"/>
      <c r="C27" s="29">
        <v>71.400000000000006</v>
      </c>
      <c r="D27" s="36"/>
      <c r="E27" s="30">
        <v>97.07</v>
      </c>
      <c r="F27" s="36"/>
      <c r="G27" s="30">
        <v>97.3</v>
      </c>
      <c r="H27" s="36"/>
      <c r="I27" s="30"/>
      <c r="J27" s="36"/>
      <c r="K27" s="30"/>
      <c r="L27" s="11">
        <f t="shared" si="0"/>
        <v>5.7900000000000063</v>
      </c>
      <c r="M27" s="30">
        <f t="shared" si="1"/>
        <v>1.0000000000005116E-2</v>
      </c>
      <c r="N27" s="86">
        <f t="shared" si="2"/>
        <v>1.7271157167539043E-3</v>
      </c>
      <c r="O27" s="87"/>
      <c r="P27" s="87"/>
    </row>
    <row r="28" spans="2:16" ht="16.5" customHeight="1" x14ac:dyDescent="0.3">
      <c r="B28" s="56"/>
      <c r="C28" s="29">
        <v>80.77</v>
      </c>
      <c r="D28" s="36"/>
      <c r="E28" s="30">
        <v>96.98</v>
      </c>
      <c r="F28" s="36"/>
      <c r="G28" s="30">
        <v>97.24</v>
      </c>
      <c r="H28" s="36"/>
      <c r="I28" s="30"/>
      <c r="J28" s="36"/>
      <c r="K28" s="30"/>
      <c r="L28" s="11">
        <f t="shared" si="0"/>
        <v>9.3699999999999903</v>
      </c>
      <c r="M28" s="30">
        <f t="shared" si="1"/>
        <v>6.0000000000002274E-2</v>
      </c>
      <c r="N28" s="86">
        <f t="shared" ref="N28:N29" si="3">M28/L28</f>
        <v>6.4034151547494485E-3</v>
      </c>
      <c r="O28" s="87"/>
      <c r="P28" s="87"/>
    </row>
    <row r="29" spans="2:16" ht="16.5" customHeight="1" x14ac:dyDescent="0.3">
      <c r="B29" s="56"/>
      <c r="C29" s="29">
        <v>84.26</v>
      </c>
      <c r="D29" s="36"/>
      <c r="E29" s="30">
        <v>96.41</v>
      </c>
      <c r="F29" s="36"/>
      <c r="G29" s="30"/>
      <c r="H29" s="36"/>
      <c r="I29" s="30"/>
      <c r="J29" s="36"/>
      <c r="K29" s="30"/>
      <c r="L29" s="11">
        <f t="shared" si="0"/>
        <v>3.4900000000000091</v>
      </c>
      <c r="M29" s="30">
        <f t="shared" si="1"/>
        <v>97.24</v>
      </c>
      <c r="N29" s="86">
        <f t="shared" si="3"/>
        <v>27.862464183381014</v>
      </c>
      <c r="O29" s="87"/>
      <c r="P29" s="87"/>
    </row>
    <row r="30" spans="2:16" ht="16.5" customHeight="1" x14ac:dyDescent="0.3">
      <c r="B30" s="56"/>
      <c r="C30" s="29">
        <v>88.23</v>
      </c>
      <c r="D30" s="36"/>
      <c r="E30" s="30">
        <v>96.89</v>
      </c>
      <c r="F30" s="36"/>
      <c r="G30" s="30">
        <v>97.19</v>
      </c>
      <c r="H30" s="36"/>
      <c r="I30" s="30"/>
      <c r="J30" s="36"/>
      <c r="K30" s="30"/>
      <c r="L30" s="11">
        <f t="shared" si="0"/>
        <v>3.9699999999999989</v>
      </c>
      <c r="M30" s="30">
        <f t="shared" si="1"/>
        <v>-97.19</v>
      </c>
      <c r="N30" s="86">
        <f t="shared" ref="N30" si="4">M30/L30</f>
        <v>-24.481108312342577</v>
      </c>
      <c r="O30" s="87"/>
      <c r="P30" s="87"/>
    </row>
    <row r="31" spans="2:16" ht="16.5" customHeight="1" x14ac:dyDescent="0.3">
      <c r="B31" s="56"/>
      <c r="C31" s="29">
        <v>98.16</v>
      </c>
      <c r="D31" s="36"/>
      <c r="E31" s="30">
        <v>96.71</v>
      </c>
      <c r="F31" s="36"/>
      <c r="G31" s="30">
        <v>97.12</v>
      </c>
      <c r="H31" s="36"/>
      <c r="I31" s="30"/>
      <c r="J31" s="36"/>
      <c r="K31" s="30"/>
      <c r="L31" s="11"/>
      <c r="M31" s="30"/>
      <c r="N31" s="86"/>
      <c r="O31" s="87"/>
      <c r="P31" s="87"/>
    </row>
    <row r="32" spans="2:16" ht="16.5" customHeight="1" x14ac:dyDescent="0.3">
      <c r="B32" s="56"/>
      <c r="C32" s="29">
        <v>108.16</v>
      </c>
      <c r="D32" s="36"/>
      <c r="E32" s="30">
        <v>96.79</v>
      </c>
      <c r="F32" s="36"/>
      <c r="G32" s="30">
        <v>97.13</v>
      </c>
      <c r="H32" s="36"/>
      <c r="I32" s="30"/>
      <c r="J32" s="36"/>
      <c r="K32" s="30"/>
      <c r="L32" s="11"/>
      <c r="M32" s="30"/>
      <c r="N32" s="86"/>
      <c r="O32" s="87"/>
      <c r="P32" s="87"/>
    </row>
    <row r="33" spans="2:16" ht="16.5" customHeight="1" x14ac:dyDescent="0.3">
      <c r="B33" s="56"/>
      <c r="C33" s="29">
        <v>118.59</v>
      </c>
      <c r="D33" s="36"/>
      <c r="E33" s="30">
        <v>96.51</v>
      </c>
      <c r="F33" s="36"/>
      <c r="G33" s="30">
        <v>97.02</v>
      </c>
      <c r="H33" s="36"/>
      <c r="I33" s="30"/>
      <c r="J33" s="36"/>
      <c r="K33" s="30"/>
      <c r="L33" s="11"/>
      <c r="M33" s="30"/>
      <c r="N33" s="86"/>
      <c r="O33" s="87"/>
      <c r="P33" s="87"/>
    </row>
    <row r="34" spans="2:16" ht="16.5" customHeight="1" x14ac:dyDescent="0.3">
      <c r="B34" s="56"/>
      <c r="C34" s="29">
        <v>123.17</v>
      </c>
      <c r="D34" s="36"/>
      <c r="E34" s="30">
        <v>95.93</v>
      </c>
      <c r="F34" s="36"/>
      <c r="G34" s="30">
        <v>96.75</v>
      </c>
      <c r="H34" s="36"/>
      <c r="I34" s="30"/>
      <c r="J34" s="36"/>
      <c r="K34" s="30"/>
      <c r="L34" s="11"/>
      <c r="M34" s="30"/>
      <c r="N34" s="86"/>
      <c r="O34" s="87"/>
      <c r="P34" s="87"/>
    </row>
    <row r="35" spans="2:16" ht="16.5" customHeight="1" x14ac:dyDescent="0.3">
      <c r="B35" s="56"/>
      <c r="C35" s="29">
        <v>128.29</v>
      </c>
      <c r="D35" s="36"/>
      <c r="E35" s="30">
        <v>96.45</v>
      </c>
      <c r="F35" s="36"/>
      <c r="G35" s="30">
        <v>96.75</v>
      </c>
      <c r="H35" s="36"/>
      <c r="I35" s="30"/>
      <c r="J35" s="36"/>
      <c r="K35" s="30"/>
      <c r="L35" s="11"/>
      <c r="M35" s="30"/>
      <c r="N35" s="86"/>
      <c r="O35" s="87"/>
      <c r="P35" s="87"/>
    </row>
    <row r="36" spans="2:16" ht="16.5" customHeight="1" x14ac:dyDescent="0.3">
      <c r="B36" s="56"/>
      <c r="C36" s="29">
        <v>136.01</v>
      </c>
      <c r="D36" s="36"/>
      <c r="E36" s="30">
        <v>96.32</v>
      </c>
      <c r="F36" s="36"/>
      <c r="G36" s="30">
        <v>96.7</v>
      </c>
      <c r="H36" s="36"/>
      <c r="I36" s="30"/>
      <c r="J36" s="36"/>
      <c r="K36" s="30"/>
      <c r="L36" s="11"/>
      <c r="M36" s="30"/>
      <c r="N36" s="86"/>
      <c r="O36" s="87"/>
      <c r="P36" s="87"/>
    </row>
    <row r="37" spans="2:16" ht="16.5" customHeight="1" x14ac:dyDescent="0.3">
      <c r="B37" s="88"/>
      <c r="C37" s="89">
        <v>143.16999999999999</v>
      </c>
      <c r="D37" s="90"/>
      <c r="E37" s="30">
        <v>96.28</v>
      </c>
      <c r="F37" s="36"/>
      <c r="G37" s="30">
        <v>96.69</v>
      </c>
      <c r="H37" s="36"/>
      <c r="I37" s="30"/>
      <c r="J37" s="36"/>
      <c r="K37" s="30"/>
      <c r="L37" s="11"/>
      <c r="M37" s="30"/>
      <c r="N37" s="86"/>
      <c r="O37" s="87"/>
      <c r="P37" s="87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6"/>
      <c r="O38" s="87"/>
      <c r="P38" s="87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6"/>
      <c r="O39" s="87"/>
      <c r="P39" s="87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6"/>
      <c r="O40" s="87"/>
      <c r="P40" s="87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6"/>
      <c r="O41" s="87"/>
      <c r="P41" s="87"/>
    </row>
    <row r="42" spans="2:16" ht="16.5" customHeight="1" x14ac:dyDescent="0.3">
      <c r="B42" s="91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6"/>
      <c r="O42" s="87"/>
      <c r="P42" s="87"/>
    </row>
    <row r="43" spans="2:16" ht="16.5" customHeight="1" x14ac:dyDescent="0.3">
      <c r="B43" s="91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6"/>
      <c r="O43" s="87"/>
      <c r="P43" s="87"/>
    </row>
    <row r="44" spans="2:16" ht="16.5" customHeight="1" x14ac:dyDescent="0.3">
      <c r="B44" s="91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6"/>
      <c r="O44" s="87"/>
      <c r="P44" s="87"/>
    </row>
    <row r="45" spans="2:16" ht="16.5" customHeight="1" x14ac:dyDescent="0.3">
      <c r="B45" s="91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2"/>
      <c r="O45" s="93"/>
      <c r="P45" s="93"/>
    </row>
    <row r="46" spans="2:16" ht="16.5" customHeight="1" x14ac:dyDescent="0.3">
      <c r="B46" s="91"/>
      <c r="C46" s="29"/>
      <c r="D46" s="36"/>
      <c r="E46" s="30"/>
      <c r="F46" s="94"/>
      <c r="G46" s="30"/>
      <c r="H46" s="94"/>
      <c r="I46" s="30"/>
      <c r="J46" s="94"/>
      <c r="K46" s="30"/>
      <c r="L46" s="95"/>
      <c r="M46" s="95"/>
      <c r="N46" s="95"/>
    </row>
    <row r="47" spans="2:16" ht="16.5" customHeight="1" x14ac:dyDescent="0.3">
      <c r="B47" s="91"/>
      <c r="C47" s="29"/>
      <c r="D47" s="36"/>
      <c r="E47" s="30"/>
      <c r="F47" s="94"/>
      <c r="G47" s="30"/>
      <c r="H47" s="94"/>
      <c r="I47" s="30"/>
      <c r="J47" s="94"/>
      <c r="K47" s="30"/>
      <c r="L47" s="95"/>
      <c r="M47" s="95"/>
      <c r="N47" s="95"/>
    </row>
    <row r="48" spans="2:16" ht="16.5" customHeight="1" x14ac:dyDescent="0.3">
      <c r="B48" s="91"/>
      <c r="C48" s="29"/>
      <c r="D48" s="36"/>
      <c r="E48" s="30"/>
      <c r="F48" s="94"/>
      <c r="G48" s="30"/>
      <c r="H48" s="94"/>
      <c r="I48" s="30"/>
      <c r="J48" s="94"/>
      <c r="K48" s="30"/>
      <c r="L48" s="95"/>
      <c r="M48" s="95"/>
      <c r="N48" s="95"/>
    </row>
    <row r="49" spans="2:14" ht="16.5" customHeight="1" x14ac:dyDescent="0.3">
      <c r="B49" s="91"/>
      <c r="C49" s="29"/>
      <c r="D49" s="36"/>
      <c r="E49" s="30"/>
      <c r="F49" s="94"/>
      <c r="G49" s="30"/>
      <c r="H49" s="94"/>
      <c r="I49" s="30"/>
      <c r="J49" s="94"/>
      <c r="K49" s="30"/>
      <c r="L49" s="95"/>
      <c r="M49" s="95"/>
      <c r="N49" s="95"/>
    </row>
    <row r="50" spans="2:14" ht="16.5" customHeight="1" x14ac:dyDescent="0.3">
      <c r="B50" s="91"/>
      <c r="C50" s="29"/>
      <c r="D50" s="36"/>
      <c r="E50" s="30"/>
      <c r="F50" s="94"/>
      <c r="G50" s="30"/>
      <c r="H50" s="94"/>
      <c r="I50" s="30"/>
      <c r="J50" s="94"/>
      <c r="K50" s="30"/>
      <c r="L50" s="95"/>
      <c r="M50" s="95"/>
      <c r="N50" s="95"/>
    </row>
    <row r="51" spans="2:14" ht="16.5" customHeight="1" x14ac:dyDescent="0.3">
      <c r="B51" s="91"/>
      <c r="C51" s="29"/>
      <c r="D51" s="36"/>
      <c r="E51" s="30"/>
      <c r="F51" s="94"/>
      <c r="G51" s="30"/>
      <c r="H51" s="94"/>
      <c r="I51" s="30"/>
      <c r="J51" s="94"/>
      <c r="K51" s="30"/>
      <c r="L51" s="95"/>
      <c r="M51" s="95"/>
      <c r="N51" s="95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B1" sqref="B1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102</v>
      </c>
      <c r="C2" s="2"/>
      <c r="D2" s="52"/>
    </row>
    <row r="3" spans="2:10" ht="16.5" customHeight="1" x14ac:dyDescent="0.25">
      <c r="B3" s="96" t="s">
        <v>14</v>
      </c>
      <c r="C3" s="97"/>
      <c r="D3" s="98"/>
    </row>
    <row r="4" spans="2:10" ht="16.5" customHeight="1" x14ac:dyDescent="0.25">
      <c r="B4" s="9"/>
      <c r="C4" s="99"/>
      <c r="D4" s="100"/>
      <c r="E4" s="59"/>
      <c r="F4" s="59"/>
      <c r="G4" s="59"/>
    </row>
    <row r="5" spans="2:10" ht="16.5" customHeight="1" x14ac:dyDescent="0.25">
      <c r="B5" s="178" t="s">
        <v>17</v>
      </c>
      <c r="C5" s="182" t="s">
        <v>35</v>
      </c>
      <c r="D5" s="183"/>
      <c r="E5" s="183"/>
      <c r="F5" s="183"/>
      <c r="G5" s="183"/>
      <c r="H5" s="177" t="s">
        <v>34</v>
      </c>
      <c r="I5" s="177"/>
      <c r="J5" s="177"/>
    </row>
    <row r="6" spans="2:10" ht="16.5" customHeight="1" thickBot="1" x14ac:dyDescent="0.3">
      <c r="B6" s="185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86</v>
      </c>
      <c r="C7" s="101">
        <v>54</v>
      </c>
      <c r="D7" s="101">
        <v>49</v>
      </c>
      <c r="E7" s="101">
        <v>53</v>
      </c>
      <c r="F7" s="101"/>
      <c r="G7" s="101"/>
      <c r="H7" s="13">
        <f>MIN(C7:G7)</f>
        <v>49</v>
      </c>
      <c r="I7" s="13">
        <f>MEDIAN(C7:G7)</f>
        <v>53</v>
      </c>
      <c r="J7" s="13">
        <f>MAX(C7:G7)</f>
        <v>54</v>
      </c>
    </row>
    <row r="8" spans="2:10" ht="16.5" customHeight="1" x14ac:dyDescent="0.25">
      <c r="B8" s="40" t="s">
        <v>26</v>
      </c>
      <c r="C8" s="101">
        <v>30</v>
      </c>
      <c r="D8" s="101">
        <v>26</v>
      </c>
      <c r="E8" s="101">
        <v>30</v>
      </c>
      <c r="F8" s="101"/>
      <c r="G8" s="101"/>
      <c r="H8" s="13">
        <f>MIN(C8:G8)</f>
        <v>26</v>
      </c>
      <c r="I8" s="13">
        <f>MEDIAN(C8:G8)</f>
        <v>30</v>
      </c>
      <c r="J8" s="13">
        <f>MAX(C8:G8)</f>
        <v>30</v>
      </c>
    </row>
    <row r="9" spans="2:10" ht="16.5" customHeight="1" x14ac:dyDescent="0.25">
      <c r="B9" s="40" t="s">
        <v>87</v>
      </c>
      <c r="C9" s="101">
        <v>14</v>
      </c>
      <c r="D9" s="101">
        <v>13</v>
      </c>
      <c r="E9" s="101">
        <v>17</v>
      </c>
      <c r="F9" s="101"/>
      <c r="G9" s="101"/>
      <c r="H9" s="13">
        <f>MIN(C9:G9)</f>
        <v>13</v>
      </c>
      <c r="I9" s="13">
        <f>MEDIAN(C9:G9)</f>
        <v>14</v>
      </c>
      <c r="J9" s="13">
        <f>MAX(C9:G9)</f>
        <v>17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