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K40" i="81"/>
  <c r="G12" i="81"/>
  <c r="C20" i="73" s="1"/>
  <c r="G14" i="81"/>
  <c r="G15" i="81"/>
  <c r="C23" i="73" s="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F30" i="81"/>
  <c r="G31" i="81"/>
  <c r="G33" i="81"/>
  <c r="F35" i="81"/>
  <c r="H35" i="81" s="1"/>
  <c r="H36" i="81"/>
  <c r="G30" i="81"/>
  <c r="F32" i="81"/>
  <c r="H33" i="81"/>
  <c r="G35" i="81"/>
  <c r="F33" i="81"/>
  <c r="G34" i="81"/>
  <c r="H34" i="81" s="1"/>
  <c r="H30" i="81"/>
  <c r="G32" i="81"/>
  <c r="F34" i="81"/>
  <c r="F36" i="81"/>
  <c r="F31" i="81"/>
  <c r="G36" i="81"/>
  <c r="G37" i="81"/>
  <c r="H37" i="81" s="1"/>
  <c r="F37" i="81"/>
  <c r="G7" i="81"/>
  <c r="C15" i="73" s="1"/>
  <c r="H31" i="81" l="1"/>
  <c r="H32" i="81"/>
  <c r="K34" i="81"/>
  <c r="G10" i="81" s="1"/>
  <c r="C18" i="73" s="1"/>
  <c r="K30" i="81" l="1"/>
  <c r="K32" i="81" s="1"/>
  <c r="K42" i="81" s="1"/>
  <c r="K43" i="81" s="1"/>
  <c r="K37" i="81"/>
  <c r="G13" i="81" s="1"/>
  <c r="C21" i="73" s="1"/>
  <c r="K35" i="81"/>
  <c r="G11" i="81" s="1"/>
  <c r="C19" i="73" s="1"/>
  <c r="K33" i="81" l="1"/>
  <c r="G9" i="81" s="1"/>
  <c r="C17" i="73" s="1"/>
  <c r="G8" i="81"/>
  <c r="C16" i="73" s="1"/>
  <c r="G6" i="81"/>
  <c r="C14" i="73" s="1"/>
  <c r="K46" i="81"/>
  <c r="K44" i="81"/>
  <c r="G18" i="81" l="1"/>
  <c r="C25" i="73" s="1"/>
  <c r="K45" i="81"/>
  <c r="G19" i="81" s="1"/>
  <c r="C26" i="73" s="1"/>
  <c r="K48" i="81"/>
  <c r="G22" i="81" s="1"/>
  <c r="C29" i="73" s="1"/>
  <c r="G20" i="81"/>
  <c r="C27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<sst xmlns="http://schemas.openxmlformats.org/spreadsheetml/2006/main" count="172" uniqueCount="111">
  <si>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</si>
  <si>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</si>
  <si>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</si>
  <si>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</si>
  <si>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</si>
  <si>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</si>
  <si>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</si>
  <si>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</si>
  <si>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</si>
  <si>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</si>
  <si>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</si>
  <si>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</si>
  <si>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</si>
  <si>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</si>
  <si>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</si>
  <si>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</si>
  <si>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</si>
  <si>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</si>
  <si>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</si>
  <si>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</si>
  <si>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</si>
  <si>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</si>
  <si>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</si>
  <si>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</si>
  <si>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</si>
  <si>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</si>
  <si>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</si>
  <si>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</si>
  <si>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</si>
  <si>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</si>
  <si>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</si>
  <si>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</si>
  <si>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</si>
  <si>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</si>
  <si>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</si>
  <si>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</si>
  <si>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</si>
  <si>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</si>
  <si>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</si>
  <si>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</si>
  <si>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</si>
  <si>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</si>
  <si>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</si>
  <si>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</si>
  <si>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</si>
  <si>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</si>
  <si>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</si>
  <si>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</si>
  <si>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</si>
  <si>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</si>
  <si>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</si>
  <si>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</si>
  <si>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</si>
  <si>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</si>
  <si>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</si>
  <si>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</si>
  <si>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</si>
  <si>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</si>
  <si>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</si>
  <si>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</si>
  <si>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</si>
  <si>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</si>
  <si>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</si>
  <si>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</si>
  <si>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</si>
  <si>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</si>
  <si>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</si>
  <si>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</si>
  <si>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</si>
  <si>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</si>
  <si>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</si>
  <si>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</si>
  <si>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</si>
  <si>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</si>
  <si>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</si>
  <si>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</si>
  <si>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</si>
  <si>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</si>
  <si>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</si>
  <si>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</si>
  <si>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</si>
  <si>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</si>
  <si>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</si>
  <si>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</si>
  <si>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</si>
  <si>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</si>
  <si>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</si>
  <si>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</si>
  <si>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</si>
  <si>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</si>
  <si>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</si>
  <si>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</si>
  <si>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</si>
  <si>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</si>
  <si>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</si>
  <si>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</si>
  <si>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</si>
  <si>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</si>
  <si>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</si>
  <si>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</si>
  <si>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</si>
  <si>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</si>
  <si>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</si>
  <si>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</si>
  <si>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Mill Creek, Sand Hills State Forest</t>
  </si>
  <si>
    <t>34.532336, -80.078090</t>
  </si>
  <si>
    <t>UT Mill Creek</t>
  </si>
  <si>
    <t>sand</t>
  </si>
  <si>
    <t>&gt;53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</si>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</sst>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6.08</c:v>
                </c:pt>
                <c:pt idx="2">
                  <c:v>6.8100000000000005</c:v>
                </c:pt>
                <c:pt idx="3">
                  <c:v>7.1899999999999995</c:v>
                </c:pt>
                <c:pt idx="4">
                  <c:v>8.8000000000000007</c:v>
                </c:pt>
                <c:pt idx="5">
                  <c:v>10.71</c:v>
                </c:pt>
                <c:pt idx="6">
                  <c:v>11.38</c:v>
                </c:pt>
                <c:pt idx="7">
                  <c:v>11.540000000000001</c:v>
                </c:pt>
                <c:pt idx="8">
                  <c:v>13.070000000000002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97.5</c:v>
                </c:pt>
                <c:pt idx="1">
                  <c:v>97.34</c:v>
                </c:pt>
                <c:pt idx="2">
                  <c:v>97.27</c:v>
                </c:pt>
                <c:pt idx="3">
                  <c:v>96.67</c:v>
                </c:pt>
                <c:pt idx="4">
                  <c:v>96.51</c:v>
                </c:pt>
                <c:pt idx="5">
                  <c:v>96.8</c:v>
                </c:pt>
                <c:pt idx="6">
                  <c:v>97.34</c:v>
                </c:pt>
                <c:pt idx="7">
                  <c:v>97.46</c:v>
                </c:pt>
                <c:pt idx="8">
                  <c:v>97.63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16576"/>
        <c:axId val="136814616"/>
      </c:scatterChart>
      <c:valAx>
        <c:axId val="13681657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814616"/>
        <c:crosses val="autoZero"/>
        <c:crossBetween val="midCat"/>
      </c:valAx>
      <c:valAx>
        <c:axId val="136814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81657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15792"/>
        <c:axId val="13681500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681579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815008"/>
        <c:crosses val="autoZero"/>
        <c:crossBetween val="midCat"/>
        <c:minorUnit val="25"/>
      </c:valAx>
      <c:valAx>
        <c:axId val="1368150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681579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C8" sqref="C8:E8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0.42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7.7272727272727276E-3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1.06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22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2.8629000000000113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5.3000000000000007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0.54016981132075681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9.8117293653288264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0.82999999999999829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1.5365538440043223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0.83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1.000000000000002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&gt;53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3.9948620459607533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1.3953900052257282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0.2163581265132121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0.3019039672858998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17.577057954781715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53.089662836759921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3" sqref="G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2.8629000000000113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5.3000000000000007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0.54016981132075681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9.8117293653288264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0.82999999999999829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1.5365538440043223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0.83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1.000000000000002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&gt;53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3.9948620459607533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1.3953900052257282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0.2163581265132121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0.3019039672858998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17.577057954781715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53.089662836759921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97.5</v>
      </c>
      <c r="F29" s="31"/>
      <c r="G29" s="32"/>
      <c r="H29" s="31"/>
      <c r="J29" s="33" t="s">
        <v>15</v>
      </c>
      <c r="K29" s="34">
        <f>LOOKUP("LBKF",B29:E51)</f>
        <v>97.34</v>
      </c>
      <c r="L29" s="35"/>
    </row>
    <row r="30" spans="2:12" ht="16.5" customHeight="1" x14ac:dyDescent="0.25">
      <c r="B30" s="119" t="s">
        <v>2</v>
      </c>
      <c r="C30" s="120">
        <v>6.08</v>
      </c>
      <c r="D30" s="121"/>
      <c r="E30" s="30">
        <v>97.34</v>
      </c>
      <c r="F30" s="31">
        <f t="shared" ref="F30:F36" si="2">IF(E30&gt;0,IF(E30&lt;K$29,K$29-E30,0),0)</f>
        <v>0</v>
      </c>
      <c r="G30" s="32">
        <f t="shared" ref="G30:G36" si="3">IF(E30&gt;0,IF(E30&lt;=K$29,C30-C29,0),0)</f>
        <v>6.08</v>
      </c>
      <c r="H30" s="31">
        <f t="shared" ref="H30:H36" si="4">IF(E30&lt;=K$29,G30*(F29+F30)/2,0)</f>
        <v>0</v>
      </c>
      <c r="J30" s="37" t="s">
        <v>71</v>
      </c>
      <c r="K30" s="11">
        <f>SUM(H29:H51)</f>
        <v>2.8629000000000113</v>
      </c>
      <c r="L30" s="35"/>
    </row>
    <row r="31" spans="2:12" ht="16.5" customHeight="1" x14ac:dyDescent="0.25">
      <c r="B31" s="119"/>
      <c r="C31" s="120">
        <v>6.8100000000000005</v>
      </c>
      <c r="D31" s="121"/>
      <c r="E31" s="30">
        <v>97.27</v>
      </c>
      <c r="F31" s="31">
        <f t="shared" si="2"/>
        <v>7.000000000000739E-2</v>
      </c>
      <c r="G31" s="32">
        <f t="shared" si="3"/>
        <v>0.73000000000000043</v>
      </c>
      <c r="H31" s="31">
        <f t="shared" si="4"/>
        <v>2.5550000000002713E-2</v>
      </c>
      <c r="J31" s="37" t="s">
        <v>72</v>
      </c>
      <c r="K31" s="11">
        <f>LOOKUP("RBKF",B29:C51)-LOOKUP("LBKF",B29:C51)</f>
        <v>5.3000000000000007</v>
      </c>
      <c r="L31" s="35"/>
    </row>
    <row r="32" spans="2:12" ht="16.5" customHeight="1" x14ac:dyDescent="0.25">
      <c r="B32" s="119"/>
      <c r="C32" s="120">
        <v>7.1899999999999995</v>
      </c>
      <c r="D32" s="121"/>
      <c r="E32" s="30">
        <v>96.67</v>
      </c>
      <c r="F32" s="31">
        <f t="shared" si="2"/>
        <v>0.67000000000000171</v>
      </c>
      <c r="G32" s="32">
        <f t="shared" si="3"/>
        <v>0.37999999999999901</v>
      </c>
      <c r="H32" s="31">
        <f t="shared" si="4"/>
        <v>0.14060000000000136</v>
      </c>
      <c r="J32" s="37" t="s">
        <v>73</v>
      </c>
      <c r="K32" s="11">
        <f>K30/K31</f>
        <v>0.54016981132075681</v>
      </c>
      <c r="L32" s="35"/>
    </row>
    <row r="33" spans="2:13" ht="16.5" customHeight="1" x14ac:dyDescent="0.25">
      <c r="B33" s="119"/>
      <c r="C33" s="120">
        <v>8.8000000000000007</v>
      </c>
      <c r="D33" s="121"/>
      <c r="E33" s="30">
        <v>96.51</v>
      </c>
      <c r="F33" s="31">
        <f t="shared" si="2"/>
        <v>0.82999999999999829</v>
      </c>
      <c r="G33" s="32">
        <f t="shared" si="3"/>
        <v>1.6100000000000012</v>
      </c>
      <c r="H33" s="31">
        <f t="shared" si="4"/>
        <v>1.2075000000000009</v>
      </c>
      <c r="J33" s="37" t="s">
        <v>74</v>
      </c>
      <c r="K33" s="38">
        <f>K31/K32</f>
        <v>9.8117293653288264</v>
      </c>
      <c r="L33" s="35"/>
    </row>
    <row r="34" spans="2:13" ht="16.5" customHeight="1" x14ac:dyDescent="0.25">
      <c r="B34" s="119"/>
      <c r="C34" s="120">
        <v>10.71</v>
      </c>
      <c r="D34" s="121"/>
      <c r="E34" s="30">
        <v>96.8</v>
      </c>
      <c r="F34" s="31">
        <f t="shared" si="2"/>
        <v>0.54000000000000625</v>
      </c>
      <c r="G34" s="32">
        <f t="shared" si="3"/>
        <v>1.9100000000000001</v>
      </c>
      <c r="H34" s="31">
        <f t="shared" si="4"/>
        <v>1.3083500000000043</v>
      </c>
      <c r="J34" s="37" t="s">
        <v>75</v>
      </c>
      <c r="K34" s="11">
        <f>MAX(F29:F51)</f>
        <v>0.82999999999999829</v>
      </c>
      <c r="L34" s="35"/>
    </row>
    <row r="35" spans="2:13" ht="16.5" customHeight="1" x14ac:dyDescent="0.25">
      <c r="B35" s="119" t="s">
        <v>3</v>
      </c>
      <c r="C35" s="120">
        <v>11.38</v>
      </c>
      <c r="D35" s="121"/>
      <c r="E35" s="30">
        <v>97.34</v>
      </c>
      <c r="F35" s="31">
        <f t="shared" si="2"/>
        <v>0</v>
      </c>
      <c r="G35" s="32">
        <f t="shared" si="3"/>
        <v>0.66999999999999993</v>
      </c>
      <c r="H35" s="31">
        <f t="shared" si="4"/>
        <v>0.18090000000000209</v>
      </c>
      <c r="J35" s="37" t="s">
        <v>76</v>
      </c>
      <c r="K35" s="39">
        <f>K34/K32</f>
        <v>1.5365538440043223</v>
      </c>
      <c r="L35" s="35"/>
    </row>
    <row r="36" spans="2:13" ht="16.5" customHeight="1" x14ac:dyDescent="0.25">
      <c r="B36" s="119"/>
      <c r="C36" s="120">
        <v>11.540000000000001</v>
      </c>
      <c r="D36" s="121"/>
      <c r="E36" s="30">
        <v>97.46</v>
      </c>
      <c r="F36" s="31">
        <f t="shared" si="2"/>
        <v>0</v>
      </c>
      <c r="G36" s="32">
        <f t="shared" si="3"/>
        <v>0</v>
      </c>
      <c r="H36" s="31">
        <f t="shared" si="4"/>
        <v>0</v>
      </c>
      <c r="J36" s="40" t="s">
        <v>25</v>
      </c>
      <c r="K36" s="41">
        <v>0.83</v>
      </c>
      <c r="L36" s="35"/>
    </row>
    <row r="37" spans="2:13" ht="16.5" customHeight="1" x14ac:dyDescent="0.25">
      <c r="B37" s="119"/>
      <c r="C37" s="120">
        <v>13.070000000000002</v>
      </c>
      <c r="D37" s="121"/>
      <c r="E37" s="30">
        <v>97.63</v>
      </c>
      <c r="F37" s="31">
        <f t="shared" ref="F37" si="5">IF(E37&gt;0,IF(E37&lt;K$29,K$29-E37,0),0)</f>
        <v>0</v>
      </c>
      <c r="G37" s="32">
        <f t="shared" ref="G37" si="6">IF(E37&gt;0,IF(E37&lt;=K$29,C37-C36,0),0)</f>
        <v>0</v>
      </c>
      <c r="H37" s="31">
        <f t="shared" ref="H37" si="7">IF(E37&lt;=K$29,G37*(F36+F37)/2,0)</f>
        <v>0</v>
      </c>
      <c r="J37" s="40" t="s">
        <v>77</v>
      </c>
      <c r="K37" s="42">
        <f>+K36/K34</f>
        <v>1.000000000000002</v>
      </c>
      <c r="L37" s="35"/>
    </row>
    <row r="38" spans="2:13" ht="16.5" customHeight="1" x14ac:dyDescent="0.25">
      <c r="B38" s="119"/>
      <c r="C38" s="120"/>
      <c r="D38" s="121"/>
      <c r="E38" s="30"/>
      <c r="F38" s="31"/>
      <c r="G38" s="32"/>
      <c r="H38" s="31"/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/>
      <c r="D39" s="121"/>
      <c r="E39" s="30"/>
      <c r="F39" s="31"/>
      <c r="G39" s="32"/>
      <c r="H39" s="31"/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7.7272727272727276E-3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5.5E-2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6.3803396226415146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0.44870652180341875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3.9948620459607533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1.3953900052257282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0.2163581265132121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0.3019039672858998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17.577057954781715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53.089662836759921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G28" sqref="G28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20.754716981132074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22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0.17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7.7272727272727276E-3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8.1909090909090924E-3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1.06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