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 s="1"/>
  <c r="F31" i="81"/>
  <c r="G31" i="81"/>
  <c r="H31" i="81" s="1"/>
  <c r="F32" i="81"/>
  <c r="G32" i="81"/>
  <c r="H32" i="81" s="1"/>
  <c r="F33" i="81"/>
  <c r="G33" i="81"/>
  <c r="H33" i="81"/>
  <c r="F34" i="81"/>
  <c r="G34" i="81"/>
  <c r="H34" i="81" s="1"/>
  <c r="F35" i="81"/>
  <c r="H35" i="81" s="1"/>
  <c r="G35" i="81"/>
  <c r="F36" i="81"/>
  <c r="G36" i="81"/>
  <c r="H36" i="81" s="1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H37" i="81"/>
  <c r="G37" i="81"/>
  <c r="F37" i="81"/>
  <c r="G7" i="81"/>
  <c r="C15" i="73" s="1"/>
  <c r="K34" i="81" l="1"/>
  <c r="K37" i="81" s="1"/>
  <c r="G13" i="81" s="1"/>
  <c r="C21" i="73" s="1"/>
  <c r="G10" i="81" l="1"/>
  <c r="C18" i="73" s="1"/>
  <c r="K30" i="81"/>
  <c r="G6" i="81" s="1"/>
  <c r="C14" i="73" s="1"/>
  <c r="K32" i="81" l="1"/>
  <c r="G8" i="81" s="1"/>
  <c r="C16" i="73" s="1"/>
  <c r="K35" i="81" l="1"/>
  <c r="G11" i="81" s="1"/>
  <c r="C19" i="73" s="1"/>
  <c r="K42" i="81"/>
  <c r="K43" i="81" s="1"/>
  <c r="K44" i="81" s="1"/>
  <c r="K33" i="81"/>
  <c r="G9" i="81" s="1"/>
  <c r="C17" i="73" s="1"/>
  <c r="K46" i="81" l="1"/>
  <c r="G18" i="81"/>
  <c r="C25" i="73" s="1"/>
  <c r="K45" i="81"/>
  <c r="G19" i="81" s="1"/>
  <c r="C26" i="73" s="1"/>
  <c r="K49" i="81"/>
  <c r="G23" i="81" s="1"/>
  <c r="C30" i="73" s="1"/>
  <c r="K47" i="81" l="1"/>
  <c r="G21" i="81" s="1"/>
  <c r="C28" i="73" s="1"/>
  <c r="G20" i="81"/>
  <c r="C27" i="73" s="1"/>
  <c r="K48" i="81"/>
  <c r="G22" i="81" s="1"/>
  <c r="C29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<sst xmlns="http://schemas.openxmlformats.org/spreadsheetml/2006/main" count="172" uniqueCount="111">
  <si>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</si>
  <si>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</si>
  <si>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</si>
  <si>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</si>
  <si>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</si>
  <si>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</si>
  <si>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</si>
  <si>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</si>
  <si>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</si>
  <si>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</si>
  <si>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</si>
  <si>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</si>
  <si>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</si>
  <si>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</si>
  <si>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</si>
  <si>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</si>
  <si>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</si>
  <si>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</si>
  <si>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</si>
  <si>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</si>
  <si>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</si>
  <si>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</si>
  <si>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</si>
  <si>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</si>
  <si>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</si>
  <si>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</si>
  <si>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</si>
  <si>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</si>
  <si>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</si>
  <si>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</si>
  <si>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</si>
  <si>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</si>
  <si>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</si>
  <si>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</si>
  <si>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</si>
  <si>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</si>
  <si>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</si>
  <si>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</si>
  <si>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</si>
  <si>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</si>
  <si>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</si>
  <si>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</si>
  <si>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</si>
  <si>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</si>
  <si>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</si>
  <si>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</si>
  <si>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</si>
  <si>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</si>
  <si>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</si>
  <si>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</si>
  <si>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</si>
  <si>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</si>
  <si>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</si>
  <si>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</si>
  <si>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</si>
  <si>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</si>
  <si>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</si>
  <si>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</si>
  <si>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</si>
  <si>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</si>
  <si>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</si>
  <si>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</si>
  <si>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</si>
  <si>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</si>
  <si>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</si>
  <si>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</si>
  <si>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</si>
  <si>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</si>
  <si>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</si>
  <si>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</si>
  <si>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</si>
  <si>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</si>
  <si>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</si>
  <si>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</si>
  <si>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</si>
  <si>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</si>
  <si>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</si>
  <si>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</si>
  <si>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</si>
  <si>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</si>
  <si>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</si>
  <si>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</si>
  <si>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</si>
  <si>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</si>
  <si>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</si>
  <si>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</si>
  <si>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</si>
  <si>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</si>
  <si>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</si>
  <si>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</si>
  <si>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</si>
  <si>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</si>
  <si>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</si>
  <si>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</si>
  <si>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</si>
  <si>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</si>
  <si>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</si>
  <si>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</si>
  <si>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</si>
  <si>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</si>
  <si>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</si>
  <si>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</si>
  <si>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</si>
  <si>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</si>
  <si>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Middle Prong Juniper Creek, Sand Hills State Forest</t>
  </si>
  <si>
    <t>34.563947, -80.118820</t>
  </si>
  <si>
    <t>Middle Prong Juniper Creek</t>
  </si>
  <si>
    <t>sand</t>
  </si>
  <si>
    <t>&gt;69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</si>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</sst>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0.8</c:v>
                </c:pt>
                <c:pt idx="2">
                  <c:v>1.4299999999999997</c:v>
                </c:pt>
                <c:pt idx="3">
                  <c:v>2.59</c:v>
                </c:pt>
                <c:pt idx="4">
                  <c:v>3.96</c:v>
                </c:pt>
                <c:pt idx="5">
                  <c:v>6.11</c:v>
                </c:pt>
                <c:pt idx="6">
                  <c:v>7.39</c:v>
                </c:pt>
                <c:pt idx="7">
                  <c:v>7.72</c:v>
                </c:pt>
                <c:pt idx="8">
                  <c:v>9.3999999999999986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97.54</c:v>
                </c:pt>
                <c:pt idx="1">
                  <c:v>97.39</c:v>
                </c:pt>
                <c:pt idx="2">
                  <c:v>97.27</c:v>
                </c:pt>
                <c:pt idx="3">
                  <c:v>96.8</c:v>
                </c:pt>
                <c:pt idx="4">
                  <c:v>95.81</c:v>
                </c:pt>
                <c:pt idx="5">
                  <c:v>95.63</c:v>
                </c:pt>
                <c:pt idx="6">
                  <c:v>95.94</c:v>
                </c:pt>
                <c:pt idx="7">
                  <c:v>97.39</c:v>
                </c:pt>
                <c:pt idx="8">
                  <c:v>97.62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0472"/>
        <c:axId val="295730864"/>
      </c:scatterChart>
      <c:valAx>
        <c:axId val="29573047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5730864"/>
        <c:crosses val="autoZero"/>
        <c:crossBetween val="midCat"/>
      </c:valAx>
      <c:valAx>
        <c:axId val="295730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573047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28512"/>
        <c:axId val="29792118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29572851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7921184"/>
        <c:crosses val="autoZero"/>
        <c:crossBetween val="midCat"/>
        <c:minorUnit val="25"/>
      </c:valAx>
      <c:valAx>
        <c:axId val="29792118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29572851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9" sqref="B9"/>
    </sheetView>
  </sheetViews>
  <sheetFormatPr defaultColWidth="14" defaultRowHeight="16.95" customHeight="1" x14ac:dyDescent="0.25"/>
  <cols>
    <col min="1" max="1" width="4" style="58" customWidth="1"/>
    <col min="2" max="2" width="41.44140625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1.32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7.926829268292683E-3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1.1299999999999999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49.2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7.8202000000000158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6.92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1.1300867052023145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6.1234239533515638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1.7600000000000051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1.5574026239738128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1.76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0.99999999999999711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&gt;69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16.949073527461962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2.1673452760110901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0.42135783043438457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0.91322790330224535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34.231351161168405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103.39221138533988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27" sqref="H27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7.8202000000000158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6.92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1.1300867052023145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6.1234239533515638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1.7600000000000051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1.5574026239738128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1.76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0.99999999999999711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&gt;69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16.949073527461962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2.1673452760110901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0.42135783043438457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0.91322790330224535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34.231351161168405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103.39221138533988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97.54</v>
      </c>
      <c r="F29" s="31"/>
      <c r="G29" s="32"/>
      <c r="H29" s="31"/>
      <c r="J29" s="33" t="s">
        <v>15</v>
      </c>
      <c r="K29" s="34">
        <f>LOOKUP("LBKF",B29:E51)</f>
        <v>97.39</v>
      </c>
      <c r="L29" s="35"/>
    </row>
    <row r="30" spans="2:12" ht="16.5" customHeight="1" x14ac:dyDescent="0.25">
      <c r="B30" s="119" t="s">
        <v>2</v>
      </c>
      <c r="C30" s="120">
        <v>0.8</v>
      </c>
      <c r="D30" s="121"/>
      <c r="E30" s="30">
        <v>97.39</v>
      </c>
      <c r="F30" s="31">
        <f t="shared" ref="F30:F36" si="2">IF(E30&gt;0,IF(E30&lt;K$29,K$29-E30,0),0)</f>
        <v>0</v>
      </c>
      <c r="G30" s="32">
        <f t="shared" ref="G30:G36" si="3">IF(E30&gt;0,IF(E30&lt;=K$29,C30-C29,0),0)</f>
        <v>0.8</v>
      </c>
      <c r="H30" s="31">
        <f t="shared" ref="H30:H36" si="4">IF(E30&lt;=K$29,G30*(F29+F30)/2,0)</f>
        <v>0</v>
      </c>
      <c r="J30" s="37" t="s">
        <v>71</v>
      </c>
      <c r="K30" s="11">
        <f>SUM(H29:H51)</f>
        <v>7.8202000000000158</v>
      </c>
      <c r="L30" s="35"/>
    </row>
    <row r="31" spans="2:12" ht="16.5" customHeight="1" x14ac:dyDescent="0.25">
      <c r="B31" s="119"/>
      <c r="C31" s="120">
        <v>1.4299999999999997</v>
      </c>
      <c r="D31" s="121"/>
      <c r="E31" s="30">
        <v>97.27</v>
      </c>
      <c r="F31" s="31">
        <f t="shared" si="2"/>
        <v>0.12000000000000455</v>
      </c>
      <c r="G31" s="32">
        <f t="shared" si="3"/>
        <v>0.62999999999999967</v>
      </c>
      <c r="H31" s="31">
        <f t="shared" si="4"/>
        <v>3.7800000000001416E-2</v>
      </c>
      <c r="J31" s="37" t="s">
        <v>72</v>
      </c>
      <c r="K31" s="11">
        <f>LOOKUP("RBKF",B29:C51)-LOOKUP("LBKF",B29:C51)</f>
        <v>6.92</v>
      </c>
      <c r="L31" s="35"/>
    </row>
    <row r="32" spans="2:12" ht="16.5" customHeight="1" x14ac:dyDescent="0.25">
      <c r="B32" s="119"/>
      <c r="C32" s="120">
        <v>2.59</v>
      </c>
      <c r="D32" s="121"/>
      <c r="E32" s="30">
        <v>96.8</v>
      </c>
      <c r="F32" s="31">
        <f t="shared" si="2"/>
        <v>0.59000000000000341</v>
      </c>
      <c r="G32" s="32">
        <f t="shared" si="3"/>
        <v>1.1600000000000001</v>
      </c>
      <c r="H32" s="31">
        <f t="shared" si="4"/>
        <v>0.41180000000000466</v>
      </c>
      <c r="J32" s="37" t="s">
        <v>73</v>
      </c>
      <c r="K32" s="11">
        <f>K30/K31</f>
        <v>1.1300867052023145</v>
      </c>
      <c r="L32" s="35"/>
    </row>
    <row r="33" spans="2:13" ht="16.5" customHeight="1" x14ac:dyDescent="0.25">
      <c r="B33" s="119"/>
      <c r="C33" s="120">
        <v>3.96</v>
      </c>
      <c r="D33" s="121"/>
      <c r="E33" s="30">
        <v>95.81</v>
      </c>
      <c r="F33" s="31">
        <f t="shared" si="2"/>
        <v>1.5799999999999983</v>
      </c>
      <c r="G33" s="32">
        <f t="shared" si="3"/>
        <v>1.37</v>
      </c>
      <c r="H33" s="31">
        <f t="shared" si="4"/>
        <v>1.4864500000000014</v>
      </c>
      <c r="J33" s="37" t="s">
        <v>74</v>
      </c>
      <c r="K33" s="38">
        <f>K31/K32</f>
        <v>6.1234239533515638</v>
      </c>
      <c r="L33" s="35"/>
    </row>
    <row r="34" spans="2:13" ht="16.5" customHeight="1" x14ac:dyDescent="0.25">
      <c r="B34" s="119"/>
      <c r="C34" s="120">
        <v>6.11</v>
      </c>
      <c r="D34" s="121"/>
      <c r="E34" s="30">
        <v>95.63</v>
      </c>
      <c r="F34" s="31">
        <f t="shared" si="2"/>
        <v>1.7600000000000051</v>
      </c>
      <c r="G34" s="32">
        <f t="shared" si="3"/>
        <v>2.1500000000000004</v>
      </c>
      <c r="H34" s="31">
        <f t="shared" si="4"/>
        <v>3.5905000000000045</v>
      </c>
      <c r="J34" s="37" t="s">
        <v>75</v>
      </c>
      <c r="K34" s="11">
        <f>MAX(F29:F51)</f>
        <v>1.7600000000000051</v>
      </c>
      <c r="L34" s="35"/>
    </row>
    <row r="35" spans="2:13" ht="16.5" customHeight="1" x14ac:dyDescent="0.25">
      <c r="B35" s="119"/>
      <c r="C35" s="120">
        <v>7.39</v>
      </c>
      <c r="D35" s="121"/>
      <c r="E35" s="30">
        <v>95.94</v>
      </c>
      <c r="F35" s="31">
        <f t="shared" si="2"/>
        <v>1.4500000000000028</v>
      </c>
      <c r="G35" s="32">
        <f t="shared" si="3"/>
        <v>1.2799999999999994</v>
      </c>
      <c r="H35" s="31">
        <f t="shared" si="4"/>
        <v>2.0544000000000042</v>
      </c>
      <c r="J35" s="37" t="s">
        <v>76</v>
      </c>
      <c r="K35" s="39">
        <f>K34/K32</f>
        <v>1.5574026239738128</v>
      </c>
      <c r="L35" s="35"/>
    </row>
    <row r="36" spans="2:13" ht="16.5" customHeight="1" x14ac:dyDescent="0.25">
      <c r="B36" s="119" t="s">
        <v>3</v>
      </c>
      <c r="C36" s="120">
        <v>7.72</v>
      </c>
      <c r="D36" s="121"/>
      <c r="E36" s="30">
        <v>97.39</v>
      </c>
      <c r="F36" s="31">
        <f t="shared" si="2"/>
        <v>0</v>
      </c>
      <c r="G36" s="32">
        <f t="shared" si="3"/>
        <v>0.33000000000000007</v>
      </c>
      <c r="H36" s="31">
        <f t="shared" si="4"/>
        <v>0.23925000000000052</v>
      </c>
      <c r="J36" s="40" t="s">
        <v>25</v>
      </c>
      <c r="K36" s="41">
        <v>1.76</v>
      </c>
      <c r="L36" s="35"/>
    </row>
    <row r="37" spans="2:13" ht="16.5" customHeight="1" x14ac:dyDescent="0.25">
      <c r="B37" s="119"/>
      <c r="C37" s="120">
        <v>9.3999999999999986</v>
      </c>
      <c r="D37" s="121"/>
      <c r="E37" s="30">
        <v>97.62</v>
      </c>
      <c r="F37" s="31">
        <f t="shared" ref="F37" si="5">IF(E37&gt;0,IF(E37&lt;K$29,K$29-E37,0),0)</f>
        <v>0</v>
      </c>
      <c r="G37" s="32">
        <f t="shared" ref="G37" si="6">IF(E37&gt;0,IF(E37&lt;=K$29,C37-C36,0),0)</f>
        <v>0</v>
      </c>
      <c r="H37" s="31">
        <f t="shared" ref="H37" si="7">IF(E37&lt;=K$29,G37*(F36+F37)/2,0)</f>
        <v>0</v>
      </c>
      <c r="J37" s="40" t="s">
        <v>77</v>
      </c>
      <c r="K37" s="42">
        <f>+K36/K34</f>
        <v>0.99999999999999711</v>
      </c>
      <c r="L37" s="35"/>
    </row>
    <row r="38" spans="2:13" ht="16.5" customHeight="1" x14ac:dyDescent="0.25">
      <c r="B38" s="119"/>
      <c r="C38" s="120"/>
      <c r="D38" s="121"/>
      <c r="E38" s="30"/>
      <c r="F38" s="31"/>
      <c r="G38" s="32"/>
      <c r="H38" s="31"/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/>
      <c r="D39" s="121"/>
      <c r="E39" s="30"/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7.926829268292683E-3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5.5E-2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9.1801734104046293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0.85185754673618186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16.949073527461962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2.1673452760110901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0.42135783043438457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0.91322790330224535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34.231351161168405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103.39221138533988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43.539823008849567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49.2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0.39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7.926829268292683E-3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8.957317073170731E-3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1.1299999999999999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