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1" i="81" l="1"/>
  <c r="G31" i="81"/>
  <c r="H31" i="81"/>
  <c r="F32" i="81"/>
  <c r="G32" i="81"/>
  <c r="H32" i="81"/>
  <c r="F33" i="81"/>
  <c r="H33" i="81" s="1"/>
  <c r="G33" i="81"/>
  <c r="F34" i="81"/>
  <c r="G34" i="81"/>
  <c r="H34" i="81" s="1"/>
  <c r="F35" i="81"/>
  <c r="G35" i="81"/>
  <c r="H35" i="81"/>
  <c r="F36" i="81"/>
  <c r="G36" i="81"/>
  <c r="H36" i="81"/>
  <c r="F37" i="81"/>
  <c r="H37" i="81" s="1"/>
  <c r="G37" i="81"/>
  <c r="F38" i="81"/>
  <c r="G38" i="81"/>
  <c r="H38" i="81" s="1"/>
  <c r="F39" i="81"/>
  <c r="G39" i="81"/>
  <c r="H39" i="81"/>
  <c r="F40" i="81"/>
  <c r="G40" i="81"/>
  <c r="H40" i="81"/>
  <c r="K29" i="81" l="1"/>
  <c r="K31" i="81"/>
  <c r="G15" i="81" s="1"/>
  <c r="C23" i="73" s="1"/>
  <c r="K40" i="81"/>
  <c r="G12" i="81"/>
  <c r="G14" i="81"/>
  <c r="C22" i="73" s="1"/>
  <c r="L30" i="70"/>
  <c r="L23" i="70"/>
  <c r="M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N24" i="70" s="1"/>
  <c r="L25" i="70"/>
  <c r="L26" i="70"/>
  <c r="L27" i="70"/>
  <c r="L28" i="70"/>
  <c r="N28" i="70" s="1"/>
  <c r="L29" i="70"/>
  <c r="M24" i="70"/>
  <c r="M25" i="70"/>
  <c r="M26" i="70"/>
  <c r="M27" i="70"/>
  <c r="N27" i="70" s="1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 s="1"/>
  <c r="D38" i="73" s="1"/>
  <c r="H9" i="84"/>
  <c r="C37" i="73" s="1"/>
  <c r="C38" i="73" s="1"/>
  <c r="J9" i="84"/>
  <c r="E37" i="73" s="1"/>
  <c r="E38" i="73" s="1"/>
  <c r="J8" i="84"/>
  <c r="E35" i="73" s="1"/>
  <c r="I8" i="84"/>
  <c r="D35" i="73" s="1"/>
  <c r="D36" i="73" s="1"/>
  <c r="H8" i="84"/>
  <c r="C35" i="73" s="1"/>
  <c r="J7" i="84"/>
  <c r="E33" i="73" s="1"/>
  <c r="I7" i="84"/>
  <c r="D33" i="73" s="1"/>
  <c r="D34" i="73" s="1"/>
  <c r="H7" i="84"/>
  <c r="C33" i="73" s="1"/>
  <c r="E15" i="73"/>
  <c r="C11" i="73"/>
  <c r="C12" i="73"/>
  <c r="M23" i="70"/>
  <c r="N23" i="70"/>
  <c r="N29" i="70"/>
  <c r="M20" i="70"/>
  <c r="N20" i="70" s="1"/>
  <c r="N25" i="70"/>
  <c r="M19" i="70"/>
  <c r="N26" i="70"/>
  <c r="M22" i="70"/>
  <c r="N22" i="70"/>
  <c r="M21" i="70"/>
  <c r="N21" i="70" s="1"/>
  <c r="M17" i="70"/>
  <c r="N17" i="70"/>
  <c r="M18" i="70"/>
  <c r="N18" i="70" s="1"/>
  <c r="M16" i="70"/>
  <c r="N16" i="70"/>
  <c r="C10" i="73"/>
  <c r="E48" i="73" s="1"/>
  <c r="D15" i="73"/>
  <c r="D23" i="73"/>
  <c r="E23" i="73"/>
  <c r="E42" i="73"/>
  <c r="C44" i="73"/>
  <c r="D4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36" i="73" l="1"/>
  <c r="C48" i="73"/>
  <c r="D48" i="73"/>
  <c r="N30" i="70"/>
  <c r="N19" i="70"/>
  <c r="E44" i="73"/>
  <c r="D42" i="73"/>
  <c r="C34" i="73"/>
  <c r="C42" i="73"/>
  <c r="E34" i="73"/>
  <c r="E46" i="73"/>
  <c r="E36" i="73"/>
  <c r="C46" i="73"/>
  <c r="F41" i="81"/>
  <c r="G7" i="81"/>
  <c r="C15" i="73" s="1"/>
  <c r="G41" i="81"/>
  <c r="H41" i="81"/>
  <c r="K34" i="81" l="1"/>
  <c r="K30" i="81" l="1"/>
  <c r="K32" i="81" s="1"/>
  <c r="G10" i="81"/>
  <c r="C18" i="73" s="1"/>
  <c r="K37" i="81"/>
  <c r="G13" i="81" s="1"/>
  <c r="C21" i="73" s="1"/>
  <c r="G6" i="81" l="1"/>
  <c r="C14" i="73" s="1"/>
  <c r="G8" i="81"/>
  <c r="C16" i="73" s="1"/>
  <c r="K33" i="81"/>
  <c r="G9" i="81" s="1"/>
  <c r="C17" i="73" s="1"/>
  <c r="K42" i="81"/>
  <c r="K43" i="81" s="1"/>
  <c r="K35" i="81"/>
  <c r="G11" i="81" s="1"/>
  <c r="C19" i="73" s="1"/>
  <c r="K46" i="81" l="1"/>
  <c r="K44" i="81"/>
  <c r="G18" i="81" l="1"/>
  <c r="C25" i="73" s="1"/>
  <c r="K45" i="81"/>
  <c r="G19" i="81" s="1"/>
  <c r="C26" i="73" s="1"/>
  <c r="K48" i="81"/>
  <c r="G22" i="81" s="1"/>
  <c r="C29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<sst xmlns="http://schemas.openxmlformats.org/spreadsheetml/2006/main" count="172" uniqueCount="111">
  <si>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</si>
  <si>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</si>
  <si>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</si>
  <si>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</si>
  <si>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</si>
  <si>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</si>
  <si>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</si>
  <si>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</si>
  <si>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</si>
  <si>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</si>
  <si>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</si>
  <si>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</si>
  <si>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</si>
  <si>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</si>
  <si>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</si>
  <si>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</si>
  <si>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</si>
  <si>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</si>
  <si>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</si>
  <si>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</si>
  <si>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</si>
  <si>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</si>
  <si>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</si>
  <si>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</si>
  <si>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</si>
  <si>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</si>
  <si>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</si>
  <si>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</si>
  <si>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</si>
  <si>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</si>
  <si>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</si>
  <si>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</si>
  <si>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</si>
  <si>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</si>
  <si>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</si>
  <si>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</si>
  <si>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</si>
  <si>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</si>
  <si>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</si>
  <si>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</si>
  <si>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</si>
  <si>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</si>
  <si>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</si>
  <si>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</si>
  <si>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</si>
  <si>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</si>
  <si>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</si>
  <si>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</si>
  <si>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</si>
  <si>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</si>
  <si>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</si>
  <si>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</si>
  <si>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</si>
  <si>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</si>
  <si>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</si>
  <si>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</si>
  <si>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</si>
  <si>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</si>
  <si>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</si>
  <si>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</si>
  <si>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</si>
  <si>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</si>
  <si>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</si>
  <si>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</si>
  <si>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</si>
  <si>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</si>
  <si>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</si>
  <si>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</si>
  <si>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</si>
  <si>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</si>
  <si>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</si>
  <si>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</si>
  <si>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</si>
  <si>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</si>
  <si>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</si>
  <si>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</si>
  <si>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</si>
  <si>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</si>
  <si>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</si>
  <si>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</si>
  <si>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</si>
  <si>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</si>
  <si>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</si>
  <si>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</si>
  <si>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</si>
  <si>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</si>
  <si>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</si>
  <si>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</si>
  <si>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</si>
  <si>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</si>
  <si>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</si>
  <si>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</si>
  <si>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</si>
  <si>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</si>
  <si>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</si>
  <si>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</si>
  <si>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</si>
  <si>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</si>
  <si>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</si>
  <si>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</si>
  <si>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</si>
  <si>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</si>
  <si>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</si>
  <si>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</si>
  <si>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Shanks Creek, Poinsett State Park</t>
  </si>
  <si>
    <t>33.802784, -80.534618</t>
  </si>
  <si>
    <t>Shanks Creek</t>
  </si>
  <si>
    <t>sand</t>
  </si>
  <si>
    <t>&gt;105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</si>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</sst>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7.9600000000000009</c:v>
                </c:pt>
                <c:pt idx="2">
                  <c:v>11.97</c:v>
                </c:pt>
                <c:pt idx="3">
                  <c:v>12.9</c:v>
                </c:pt>
                <c:pt idx="4">
                  <c:v>13.48</c:v>
                </c:pt>
                <c:pt idx="5">
                  <c:v>15.809999999999999</c:v>
                </c:pt>
                <c:pt idx="6">
                  <c:v>19.18</c:v>
                </c:pt>
                <c:pt idx="7">
                  <c:v>21.1</c:v>
                </c:pt>
                <c:pt idx="8">
                  <c:v>21.6</c:v>
                </c:pt>
                <c:pt idx="9">
                  <c:v>22.5</c:v>
                </c:pt>
                <c:pt idx="10">
                  <c:v>22.740000000000002</c:v>
                </c:pt>
                <c:pt idx="11">
                  <c:v>23.97</c:v>
                </c:pt>
                <c:pt idx="12">
                  <c:v>43.9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99.39</c:v>
                </c:pt>
                <c:pt idx="1">
                  <c:v>99.32</c:v>
                </c:pt>
                <c:pt idx="2">
                  <c:v>99.45</c:v>
                </c:pt>
                <c:pt idx="3">
                  <c:v>99.08</c:v>
                </c:pt>
                <c:pt idx="4">
                  <c:v>98.53</c:v>
                </c:pt>
                <c:pt idx="5">
                  <c:v>98.06</c:v>
                </c:pt>
                <c:pt idx="6">
                  <c:v>97.95</c:v>
                </c:pt>
                <c:pt idx="7">
                  <c:v>98.24</c:v>
                </c:pt>
                <c:pt idx="8">
                  <c:v>99.1</c:v>
                </c:pt>
                <c:pt idx="9">
                  <c:v>99.45</c:v>
                </c:pt>
                <c:pt idx="10">
                  <c:v>99.51</c:v>
                </c:pt>
                <c:pt idx="11">
                  <c:v>99.78</c:v>
                </c:pt>
                <c:pt idx="12">
                  <c:v>99.64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82200"/>
        <c:axId val="126882984"/>
      </c:scatterChart>
      <c:valAx>
        <c:axId val="12688220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882984"/>
        <c:crosses val="autoZero"/>
        <c:crossBetween val="midCat"/>
      </c:valAx>
      <c:valAx>
        <c:axId val="126882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88220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Profile'!$C$15:$C$47</c:f>
              <c:numCache>
                <c:formatCode>0.0</c:formatCode>
                <c:ptCount val="33"/>
                <c:pt idx="0">
                  <c:v>0</c:v>
                </c:pt>
                <c:pt idx="1">
                  <c:v>17.88</c:v>
                </c:pt>
                <c:pt idx="2">
                  <c:v>26.65</c:v>
                </c:pt>
                <c:pt idx="3">
                  <c:v>32.76</c:v>
                </c:pt>
                <c:pt idx="4">
                  <c:v>42.68</c:v>
                </c:pt>
                <c:pt idx="5">
                  <c:v>52.19</c:v>
                </c:pt>
                <c:pt idx="6">
                  <c:v>62.86</c:v>
                </c:pt>
                <c:pt idx="7">
                  <c:v>70.069999999999993</c:v>
                </c:pt>
                <c:pt idx="8">
                  <c:v>78.56</c:v>
                </c:pt>
                <c:pt idx="9">
                  <c:v>83.83</c:v>
                </c:pt>
                <c:pt idx="10">
                  <c:v>90.56</c:v>
                </c:pt>
                <c:pt idx="11">
                  <c:v>101.03</c:v>
                </c:pt>
                <c:pt idx="12">
                  <c:v>106.66</c:v>
                </c:pt>
                <c:pt idx="13">
                  <c:v>111.56</c:v>
                </c:pt>
                <c:pt idx="14">
                  <c:v>116.85</c:v>
                </c:pt>
                <c:pt idx="15">
                  <c:v>124.36</c:v>
                </c:pt>
                <c:pt idx="16">
                  <c:v>127.29</c:v>
                </c:pt>
                <c:pt idx="17">
                  <c:v>136.22999999999999</c:v>
                </c:pt>
                <c:pt idx="18">
                  <c:v>150.29</c:v>
                </c:pt>
                <c:pt idx="19">
                  <c:v>158.16</c:v>
                </c:pt>
                <c:pt idx="20">
                  <c:v>165.97</c:v>
                </c:pt>
                <c:pt idx="21">
                  <c:v>168.13</c:v>
                </c:pt>
                <c:pt idx="22">
                  <c:v>177.48</c:v>
                </c:pt>
                <c:pt idx="23">
                  <c:v>185.96</c:v>
                </c:pt>
                <c:pt idx="24">
                  <c:v>194.97</c:v>
                </c:pt>
                <c:pt idx="25">
                  <c:v>196.32</c:v>
                </c:pt>
                <c:pt idx="26">
                  <c:v>204.57</c:v>
                </c:pt>
                <c:pt idx="27">
                  <c:v>210.87</c:v>
                </c:pt>
                <c:pt idx="28">
                  <c:v>217</c:v>
                </c:pt>
                <c:pt idx="29">
                  <c:v>223.36</c:v>
                </c:pt>
                <c:pt idx="30">
                  <c:v>227.77</c:v>
                </c:pt>
                <c:pt idx="31">
                  <c:v>230.49</c:v>
                </c:pt>
                <c:pt idx="32">
                  <c:v>242.34</c:v>
                </c:pt>
              </c:numCache>
            </c:numRef>
          </c:xVal>
          <c:yVal>
            <c:numRef>
              <c:f>'Longitudinal Profile'!$E$15:$E$47</c:f>
              <c:numCache>
                <c:formatCode>0.00</c:formatCode>
                <c:ptCount val="33"/>
                <c:pt idx="0">
                  <c:v>98.85</c:v>
                </c:pt>
                <c:pt idx="1">
                  <c:v>98.49</c:v>
                </c:pt>
                <c:pt idx="2">
                  <c:v>98.35</c:v>
                </c:pt>
                <c:pt idx="3">
                  <c:v>97.21</c:v>
                </c:pt>
                <c:pt idx="4">
                  <c:v>98.47</c:v>
                </c:pt>
                <c:pt idx="5">
                  <c:v>98.37</c:v>
                </c:pt>
                <c:pt idx="6">
                  <c:v>97.86</c:v>
                </c:pt>
                <c:pt idx="7">
                  <c:v>98.36</c:v>
                </c:pt>
                <c:pt idx="8">
                  <c:v>97.73</c:v>
                </c:pt>
                <c:pt idx="9">
                  <c:v>97.78</c:v>
                </c:pt>
                <c:pt idx="10">
                  <c:v>97.9</c:v>
                </c:pt>
                <c:pt idx="11">
                  <c:v>98.08</c:v>
                </c:pt>
                <c:pt idx="12">
                  <c:v>97.67</c:v>
                </c:pt>
                <c:pt idx="13">
                  <c:v>98.24</c:v>
                </c:pt>
                <c:pt idx="14">
                  <c:v>97.64</c:v>
                </c:pt>
                <c:pt idx="15">
                  <c:v>98.33</c:v>
                </c:pt>
                <c:pt idx="16">
                  <c:v>98.13</c:v>
                </c:pt>
                <c:pt idx="17">
                  <c:v>97.6</c:v>
                </c:pt>
                <c:pt idx="18">
                  <c:v>98.41</c:v>
                </c:pt>
                <c:pt idx="19">
                  <c:v>97.93</c:v>
                </c:pt>
                <c:pt idx="20">
                  <c:v>97.55</c:v>
                </c:pt>
                <c:pt idx="21">
                  <c:v>98.09</c:v>
                </c:pt>
                <c:pt idx="22">
                  <c:v>97.89</c:v>
                </c:pt>
                <c:pt idx="23">
                  <c:v>97.24</c:v>
                </c:pt>
                <c:pt idx="24">
                  <c:v>97.63</c:v>
                </c:pt>
                <c:pt idx="25">
                  <c:v>97.71</c:v>
                </c:pt>
                <c:pt idx="26">
                  <c:v>97.99</c:v>
                </c:pt>
                <c:pt idx="27">
                  <c:v>97.11</c:v>
                </c:pt>
                <c:pt idx="28">
                  <c:v>96.76</c:v>
                </c:pt>
                <c:pt idx="29">
                  <c:v>96.82</c:v>
                </c:pt>
                <c:pt idx="30">
                  <c:v>98.07</c:v>
                </c:pt>
                <c:pt idx="31">
                  <c:v>98.13</c:v>
                </c:pt>
                <c:pt idx="32">
                  <c:v>98.2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Profile'!$C$15:$C$47</c:f>
              <c:numCache>
                <c:formatCode>0.0</c:formatCode>
                <c:ptCount val="33"/>
                <c:pt idx="0">
                  <c:v>0</c:v>
                </c:pt>
                <c:pt idx="1">
                  <c:v>17.88</c:v>
                </c:pt>
                <c:pt idx="2">
                  <c:v>26.65</c:v>
                </c:pt>
                <c:pt idx="3">
                  <c:v>32.76</c:v>
                </c:pt>
                <c:pt idx="4">
                  <c:v>42.68</c:v>
                </c:pt>
                <c:pt idx="5">
                  <c:v>52.19</c:v>
                </c:pt>
                <c:pt idx="6">
                  <c:v>62.86</c:v>
                </c:pt>
                <c:pt idx="7">
                  <c:v>70.069999999999993</c:v>
                </c:pt>
                <c:pt idx="8">
                  <c:v>78.56</c:v>
                </c:pt>
                <c:pt idx="9">
                  <c:v>83.83</c:v>
                </c:pt>
                <c:pt idx="10">
                  <c:v>90.56</c:v>
                </c:pt>
                <c:pt idx="11">
                  <c:v>101.03</c:v>
                </c:pt>
                <c:pt idx="12">
                  <c:v>106.66</c:v>
                </c:pt>
                <c:pt idx="13">
                  <c:v>111.56</c:v>
                </c:pt>
                <c:pt idx="14">
                  <c:v>116.85</c:v>
                </c:pt>
                <c:pt idx="15">
                  <c:v>124.36</c:v>
                </c:pt>
                <c:pt idx="16">
                  <c:v>127.29</c:v>
                </c:pt>
                <c:pt idx="17">
                  <c:v>136.22999999999999</c:v>
                </c:pt>
                <c:pt idx="18">
                  <c:v>150.29</c:v>
                </c:pt>
                <c:pt idx="19">
                  <c:v>158.16</c:v>
                </c:pt>
                <c:pt idx="20">
                  <c:v>165.97</c:v>
                </c:pt>
                <c:pt idx="21">
                  <c:v>168.13</c:v>
                </c:pt>
                <c:pt idx="22">
                  <c:v>177.48</c:v>
                </c:pt>
                <c:pt idx="23">
                  <c:v>185.96</c:v>
                </c:pt>
                <c:pt idx="24">
                  <c:v>194.97</c:v>
                </c:pt>
                <c:pt idx="25">
                  <c:v>196.32</c:v>
                </c:pt>
                <c:pt idx="26">
                  <c:v>204.57</c:v>
                </c:pt>
                <c:pt idx="27">
                  <c:v>210.87</c:v>
                </c:pt>
                <c:pt idx="28">
                  <c:v>217</c:v>
                </c:pt>
                <c:pt idx="29">
                  <c:v>223.36</c:v>
                </c:pt>
                <c:pt idx="30">
                  <c:v>227.77</c:v>
                </c:pt>
                <c:pt idx="31">
                  <c:v>230.49</c:v>
                </c:pt>
                <c:pt idx="32">
                  <c:v>242.34</c:v>
                </c:pt>
              </c:numCache>
            </c:numRef>
          </c:xVal>
          <c:yVal>
            <c:numRef>
              <c:f>'Longitudinal Profile'!$G$15:$G$47</c:f>
              <c:numCache>
                <c:formatCode>0.00</c:formatCode>
                <c:ptCount val="33"/>
                <c:pt idx="0">
                  <c:v>99.57</c:v>
                </c:pt>
                <c:pt idx="1">
                  <c:v>99.43</c:v>
                </c:pt>
                <c:pt idx="3">
                  <c:v>99.05</c:v>
                </c:pt>
                <c:pt idx="4">
                  <c:v>99.03</c:v>
                </c:pt>
                <c:pt idx="6">
                  <c:v>99.02</c:v>
                </c:pt>
                <c:pt idx="7">
                  <c:v>98.96</c:v>
                </c:pt>
                <c:pt idx="10">
                  <c:v>98.92</c:v>
                </c:pt>
                <c:pt idx="11">
                  <c:v>98.87</c:v>
                </c:pt>
                <c:pt idx="13">
                  <c:v>98.79</c:v>
                </c:pt>
                <c:pt idx="14">
                  <c:v>98.81</c:v>
                </c:pt>
                <c:pt idx="15">
                  <c:v>98.8</c:v>
                </c:pt>
                <c:pt idx="17">
                  <c:v>98.76</c:v>
                </c:pt>
                <c:pt idx="18">
                  <c:v>98.73</c:v>
                </c:pt>
                <c:pt idx="20">
                  <c:v>98.71</c:v>
                </c:pt>
                <c:pt idx="22">
                  <c:v>98.71</c:v>
                </c:pt>
                <c:pt idx="25">
                  <c:v>98.66</c:v>
                </c:pt>
                <c:pt idx="26">
                  <c:v>98.61</c:v>
                </c:pt>
                <c:pt idx="29">
                  <c:v>98.59</c:v>
                </c:pt>
                <c:pt idx="32">
                  <c:v>98.53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84552"/>
        <c:axId val="12688102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17.88</c:v>
                      </c:pt>
                      <c:pt idx="2">
                        <c:v>26.65</c:v>
                      </c:pt>
                      <c:pt idx="3">
                        <c:v>32.76</c:v>
                      </c:pt>
                      <c:pt idx="4">
                        <c:v>42.68</c:v>
                      </c:pt>
                      <c:pt idx="5">
                        <c:v>52.19</c:v>
                      </c:pt>
                      <c:pt idx="6">
                        <c:v>62.86</c:v>
                      </c:pt>
                      <c:pt idx="7">
                        <c:v>70.069999999999993</c:v>
                      </c:pt>
                      <c:pt idx="8">
                        <c:v>78.56</c:v>
                      </c:pt>
                      <c:pt idx="9">
                        <c:v>83.83</c:v>
                      </c:pt>
                      <c:pt idx="10">
                        <c:v>90.56</c:v>
                      </c:pt>
                      <c:pt idx="11">
                        <c:v>101.03</c:v>
                      </c:pt>
                      <c:pt idx="12">
                        <c:v>106.66</c:v>
                      </c:pt>
                      <c:pt idx="13">
                        <c:v>111.56</c:v>
                      </c:pt>
                      <c:pt idx="14">
                        <c:v>116.85</c:v>
                      </c:pt>
                      <c:pt idx="15">
                        <c:v>124.36</c:v>
                      </c:pt>
                      <c:pt idx="16">
                        <c:v>127.29</c:v>
                      </c:pt>
                      <c:pt idx="17">
                        <c:v>136.22999999999999</c:v>
                      </c:pt>
                      <c:pt idx="18">
                        <c:v>150.29</c:v>
                      </c:pt>
                      <c:pt idx="19">
                        <c:v>158.16</c:v>
                      </c:pt>
                      <c:pt idx="20">
                        <c:v>165.97</c:v>
                      </c:pt>
                      <c:pt idx="21">
                        <c:v>168.13</c:v>
                      </c:pt>
                      <c:pt idx="22">
                        <c:v>177.48</c:v>
                      </c:pt>
                      <c:pt idx="23">
                        <c:v>185.96</c:v>
                      </c:pt>
                      <c:pt idx="24">
                        <c:v>194.97</c:v>
                      </c:pt>
                      <c:pt idx="25">
                        <c:v>196.32</c:v>
                      </c:pt>
                      <c:pt idx="26">
                        <c:v>204.57</c:v>
                      </c:pt>
                      <c:pt idx="27">
                        <c:v>210.87</c:v>
                      </c:pt>
                      <c:pt idx="28">
                        <c:v>217</c:v>
                      </c:pt>
                      <c:pt idx="29">
                        <c:v>223.36</c:v>
                      </c:pt>
                      <c:pt idx="30">
                        <c:v>227.77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17.88</c:v>
                      </c:pt>
                      <c:pt idx="2">
                        <c:v>26.65</c:v>
                      </c:pt>
                      <c:pt idx="3">
                        <c:v>32.76</c:v>
                      </c:pt>
                      <c:pt idx="4">
                        <c:v>42.68</c:v>
                      </c:pt>
                      <c:pt idx="5">
                        <c:v>52.19</c:v>
                      </c:pt>
                      <c:pt idx="6">
                        <c:v>62.86</c:v>
                      </c:pt>
                      <c:pt idx="7">
                        <c:v>70.069999999999993</c:v>
                      </c:pt>
                      <c:pt idx="8">
                        <c:v>78.56</c:v>
                      </c:pt>
                      <c:pt idx="9">
                        <c:v>83.83</c:v>
                      </c:pt>
                      <c:pt idx="10">
                        <c:v>90.56</c:v>
                      </c:pt>
                      <c:pt idx="11">
                        <c:v>101.03</c:v>
                      </c:pt>
                      <c:pt idx="12">
                        <c:v>106.66</c:v>
                      </c:pt>
                      <c:pt idx="13">
                        <c:v>111.56</c:v>
                      </c:pt>
                      <c:pt idx="14">
                        <c:v>116.85</c:v>
                      </c:pt>
                      <c:pt idx="15">
                        <c:v>124.36</c:v>
                      </c:pt>
                      <c:pt idx="16">
                        <c:v>127.29</c:v>
                      </c:pt>
                      <c:pt idx="17">
                        <c:v>136.22999999999999</c:v>
                      </c:pt>
                      <c:pt idx="18">
                        <c:v>150.29</c:v>
                      </c:pt>
                      <c:pt idx="19">
                        <c:v>158.16</c:v>
                      </c:pt>
                      <c:pt idx="20">
                        <c:v>165.97</c:v>
                      </c:pt>
                      <c:pt idx="21">
                        <c:v>168.13</c:v>
                      </c:pt>
                      <c:pt idx="22">
                        <c:v>177.48</c:v>
                      </c:pt>
                      <c:pt idx="23">
                        <c:v>185.96</c:v>
                      </c:pt>
                      <c:pt idx="24">
                        <c:v>194.97</c:v>
                      </c:pt>
                      <c:pt idx="25">
                        <c:v>196.32</c:v>
                      </c:pt>
                      <c:pt idx="26">
                        <c:v>204.57</c:v>
                      </c:pt>
                      <c:pt idx="27">
                        <c:v>210.87</c:v>
                      </c:pt>
                      <c:pt idx="28">
                        <c:v>217</c:v>
                      </c:pt>
                      <c:pt idx="29">
                        <c:v>223.36</c:v>
                      </c:pt>
                      <c:pt idx="30">
                        <c:v>227.77</c:v>
                      </c:pt>
                      <c:pt idx="31">
                        <c:v>230.49</c:v>
                      </c:pt>
                      <c:pt idx="32">
                        <c:v>242.34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26884552"/>
        <c:scaling>
          <c:orientation val="minMax"/>
          <c:max val="25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881024"/>
        <c:crosses val="autoZero"/>
        <c:crossBetween val="midCat"/>
        <c:minorUnit val="25"/>
      </c:valAx>
      <c:valAx>
        <c:axId val="1268810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26884552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9" sqref="B9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43837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3.61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4.2921997523730909E-3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1.33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242.3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11.256050000000027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10.53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1.0689506172839531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9.850782468094911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1.5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1.4032453658254862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1.5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&gt;105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17.508732518619894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1.5554952686439605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0.2379829587864058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0.37018136641014487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19.33387169806003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58.395934770184297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72</v>
      </c>
      <c r="D33" s="13">
        <f>'Planform Geometry'!I7</f>
        <v>88</v>
      </c>
      <c r="E33" s="13">
        <f>'Planform Geometry'!J7</f>
        <v>91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27</v>
      </c>
      <c r="D35" s="13">
        <f>+'Planform Geometry'!I8</f>
        <v>35</v>
      </c>
      <c r="E35" s="13">
        <f>+'Planform Geometry'!J8</f>
        <v>35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18</v>
      </c>
      <c r="D37" s="13">
        <f>+'Planform Geometry'!I9</f>
        <v>37</v>
      </c>
      <c r="E37" s="13">
        <f>+'Planform Geometry'!J9</f>
        <v>45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2" sqref="H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11.256050000000027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10.53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1.0689506172839531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9.850782468094911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1.5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1.4032453658254862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1.5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&gt;105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17.508732518619894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1.5554952686439605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0.2379829587864058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0.37018136641014487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19.33387169806003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58.395934770184297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>
        <v>176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99.39</v>
      </c>
      <c r="F29" s="31"/>
      <c r="G29" s="32"/>
      <c r="H29" s="31"/>
      <c r="J29" s="33" t="s">
        <v>15</v>
      </c>
      <c r="K29" s="34">
        <f>LOOKUP("LBKF",B29:E51)</f>
        <v>99.45</v>
      </c>
      <c r="L29" s="35"/>
    </row>
    <row r="30" spans="2:12" ht="16.5" customHeight="1" x14ac:dyDescent="0.25">
      <c r="B30" s="119"/>
      <c r="C30" s="120">
        <v>7.9600000000000009</v>
      </c>
      <c r="D30" s="121"/>
      <c r="E30" s="30">
        <v>99.32</v>
      </c>
      <c r="F30" s="31"/>
      <c r="G30" s="32"/>
      <c r="H30" s="31"/>
      <c r="J30" s="37" t="s">
        <v>71</v>
      </c>
      <c r="K30" s="11">
        <f>SUM(H29:H51)</f>
        <v>11.256050000000027</v>
      </c>
      <c r="L30" s="35"/>
    </row>
    <row r="31" spans="2:12" ht="16.5" customHeight="1" x14ac:dyDescent="0.25">
      <c r="B31" s="119" t="s">
        <v>2</v>
      </c>
      <c r="C31" s="120">
        <v>11.97</v>
      </c>
      <c r="D31" s="121"/>
      <c r="E31" s="30">
        <v>99.45</v>
      </c>
      <c r="F31" s="31">
        <f t="shared" ref="F31:F40" si="2">IF(E31&gt;0,IF(E31&lt;K$29,K$29-E31,0),0)</f>
        <v>0</v>
      </c>
      <c r="G31" s="32">
        <f t="shared" ref="G31:G40" si="3">IF(E31&gt;0,IF(E31&lt;=K$29,C31-C30,0),0)</f>
        <v>4.01</v>
      </c>
      <c r="H31" s="31">
        <f t="shared" ref="H31:H40" si="4">IF(E31&lt;=K$29,G31*(F30+F31)/2,0)</f>
        <v>0</v>
      </c>
      <c r="J31" s="37" t="s">
        <v>72</v>
      </c>
      <c r="K31" s="11">
        <f>LOOKUP("RBKF",B29:C51)-LOOKUP("LBKF",B29:C51)</f>
        <v>10.53</v>
      </c>
      <c r="L31" s="35"/>
    </row>
    <row r="32" spans="2:12" ht="16.5" customHeight="1" x14ac:dyDescent="0.25">
      <c r="B32" s="119"/>
      <c r="C32" s="120">
        <v>12.9</v>
      </c>
      <c r="D32" s="121"/>
      <c r="E32" s="30">
        <v>99.08</v>
      </c>
      <c r="F32" s="31">
        <f t="shared" si="2"/>
        <v>0.37000000000000455</v>
      </c>
      <c r="G32" s="32">
        <f t="shared" si="3"/>
        <v>0.92999999999999972</v>
      </c>
      <c r="H32" s="31">
        <f t="shared" si="4"/>
        <v>0.17205000000000206</v>
      </c>
      <c r="J32" s="37" t="s">
        <v>73</v>
      </c>
      <c r="K32" s="11">
        <f>K30/K31</f>
        <v>1.0689506172839531</v>
      </c>
      <c r="L32" s="35"/>
    </row>
    <row r="33" spans="2:13" ht="16.5" customHeight="1" x14ac:dyDescent="0.25">
      <c r="B33" s="119"/>
      <c r="C33" s="120">
        <v>13.48</v>
      </c>
      <c r="D33" s="121"/>
      <c r="E33" s="30">
        <v>98.53</v>
      </c>
      <c r="F33" s="31">
        <f t="shared" si="2"/>
        <v>0.92000000000000171</v>
      </c>
      <c r="G33" s="32">
        <f t="shared" si="3"/>
        <v>0.58000000000000007</v>
      </c>
      <c r="H33" s="31">
        <f t="shared" si="4"/>
        <v>0.37410000000000188</v>
      </c>
      <c r="J33" s="37" t="s">
        <v>74</v>
      </c>
      <c r="K33" s="38">
        <f>K31/K32</f>
        <v>9.850782468094911</v>
      </c>
      <c r="L33" s="35"/>
    </row>
    <row r="34" spans="2:13" ht="16.5" customHeight="1" x14ac:dyDescent="0.25">
      <c r="B34" s="119"/>
      <c r="C34" s="120">
        <v>15.809999999999999</v>
      </c>
      <c r="D34" s="121"/>
      <c r="E34" s="30">
        <v>98.06</v>
      </c>
      <c r="F34" s="31">
        <f t="shared" si="2"/>
        <v>1.3900000000000006</v>
      </c>
      <c r="G34" s="32">
        <f t="shared" si="3"/>
        <v>2.3299999999999983</v>
      </c>
      <c r="H34" s="31">
        <f t="shared" si="4"/>
        <v>2.6911500000000008</v>
      </c>
      <c r="J34" s="37" t="s">
        <v>75</v>
      </c>
      <c r="K34" s="11">
        <f>MAX(F29:F51)</f>
        <v>1.5</v>
      </c>
      <c r="L34" s="35"/>
    </row>
    <row r="35" spans="2:13" ht="16.5" customHeight="1" x14ac:dyDescent="0.25">
      <c r="B35" s="119"/>
      <c r="C35" s="120">
        <v>19.18</v>
      </c>
      <c r="D35" s="121"/>
      <c r="E35" s="30">
        <v>97.95</v>
      </c>
      <c r="F35" s="31">
        <f t="shared" si="2"/>
        <v>1.5</v>
      </c>
      <c r="G35" s="32">
        <f t="shared" si="3"/>
        <v>3.370000000000001</v>
      </c>
      <c r="H35" s="31">
        <f t="shared" si="4"/>
        <v>4.8696500000000027</v>
      </c>
      <c r="J35" s="37" t="s">
        <v>76</v>
      </c>
      <c r="K35" s="39">
        <f>K34/K32</f>
        <v>1.4032453658254862</v>
      </c>
      <c r="L35" s="35"/>
    </row>
    <row r="36" spans="2:13" ht="16.5" customHeight="1" x14ac:dyDescent="0.25">
      <c r="B36" s="119"/>
      <c r="C36" s="120">
        <v>21.1</v>
      </c>
      <c r="D36" s="121"/>
      <c r="E36" s="30">
        <v>98.24</v>
      </c>
      <c r="F36" s="31">
        <f t="shared" si="2"/>
        <v>1.210000000000008</v>
      </c>
      <c r="G36" s="32">
        <f t="shared" si="3"/>
        <v>1.9200000000000017</v>
      </c>
      <c r="H36" s="31">
        <f t="shared" si="4"/>
        <v>2.6016000000000101</v>
      </c>
      <c r="J36" s="40" t="s">
        <v>25</v>
      </c>
      <c r="K36" s="41">
        <v>1.5</v>
      </c>
      <c r="L36" s="35"/>
    </row>
    <row r="37" spans="2:13" ht="16.5" customHeight="1" x14ac:dyDescent="0.25">
      <c r="B37" s="119"/>
      <c r="C37" s="120">
        <v>21.6</v>
      </c>
      <c r="D37" s="121"/>
      <c r="E37" s="30">
        <v>99.1</v>
      </c>
      <c r="F37" s="31">
        <f t="shared" si="2"/>
        <v>0.35000000000000853</v>
      </c>
      <c r="G37" s="32">
        <f t="shared" si="3"/>
        <v>0.5</v>
      </c>
      <c r="H37" s="31">
        <f t="shared" si="4"/>
        <v>0.39000000000000412</v>
      </c>
      <c r="J37" s="40" t="s">
        <v>77</v>
      </c>
      <c r="K37" s="42">
        <f>+K36/K34</f>
        <v>1</v>
      </c>
      <c r="L37" s="35"/>
    </row>
    <row r="38" spans="2:13" ht="16.5" customHeight="1" x14ac:dyDescent="0.25">
      <c r="B38" s="119" t="s">
        <v>3</v>
      </c>
      <c r="C38" s="120">
        <v>22.5</v>
      </c>
      <c r="D38" s="121"/>
      <c r="E38" s="30">
        <v>99.45</v>
      </c>
      <c r="F38" s="31">
        <f t="shared" si="2"/>
        <v>0</v>
      </c>
      <c r="G38" s="32">
        <f t="shared" si="3"/>
        <v>0.89999999999999858</v>
      </c>
      <c r="H38" s="31">
        <f t="shared" si="4"/>
        <v>0.15750000000000358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22.740000000000002</v>
      </c>
      <c r="D39" s="121"/>
      <c r="E39" s="30">
        <v>99.51</v>
      </c>
      <c r="F39" s="31">
        <f t="shared" si="2"/>
        <v>0</v>
      </c>
      <c r="G39" s="32">
        <f t="shared" si="3"/>
        <v>0</v>
      </c>
      <c r="H39" s="31">
        <f t="shared" si="4"/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>
        <v>23.97</v>
      </c>
      <c r="D40" s="121"/>
      <c r="E40" s="30">
        <v>99.78</v>
      </c>
      <c r="F40" s="31">
        <f t="shared" si="2"/>
        <v>0</v>
      </c>
      <c r="G40" s="32">
        <f t="shared" si="3"/>
        <v>0</v>
      </c>
      <c r="H40" s="31">
        <f t="shared" si="4"/>
        <v>0</v>
      </c>
      <c r="J40" s="37" t="s">
        <v>8</v>
      </c>
      <c r="K40" s="108">
        <f>+'Longitudinal Profile'!$H$9</f>
        <v>4.2921997523730909E-3</v>
      </c>
      <c r="L40" s="45"/>
    </row>
    <row r="41" spans="2:13" ht="16.5" customHeight="1" x14ac:dyDescent="0.25">
      <c r="B41" s="119"/>
      <c r="C41" s="120">
        <v>43.9</v>
      </c>
      <c r="D41" s="121"/>
      <c r="E41" s="30">
        <v>99.64</v>
      </c>
      <c r="F41" s="31">
        <f t="shared" ref="F41" si="5">IF(E41&gt;0,IF(E41&lt;K$29,K$29-E41,0),0)</f>
        <v>0</v>
      </c>
      <c r="G41" s="32">
        <f t="shared" ref="G41" si="6">IF(E41&gt;0,IF(E41&lt;=K$29,C41-C40,0),0)</f>
        <v>0</v>
      </c>
      <c r="H41" s="31">
        <f t="shared" ref="H41" si="7">IF(E41&lt;=K$29,G41*(F40+F41)/2,0)</f>
        <v>0</v>
      </c>
      <c r="J41" s="37" t="s">
        <v>10</v>
      </c>
      <c r="K41" s="46">
        <v>5.8000000000000003E-2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12.667901234567905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0.88854892310691147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17.508732518619894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1.5554952686439605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0.2379829587864058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0.37018136641014487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19.33387169806003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58.395934770184297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4" sqref="E4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182.18045112781954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242.3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1.04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4.2921997523730909E-3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5.7086256706562113E-3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1.33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>
        <v>0</v>
      </c>
      <c r="D15" s="36"/>
      <c r="E15" s="30">
        <v>98.85</v>
      </c>
      <c r="F15" s="36"/>
      <c r="G15" s="30">
        <v>99.57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>
        <v>17.88</v>
      </c>
      <c r="D16" s="36"/>
      <c r="E16" s="30">
        <v>98.49</v>
      </c>
      <c r="F16" s="36"/>
      <c r="G16" s="30">
        <v>99.43</v>
      </c>
      <c r="H16" s="36"/>
      <c r="I16" s="30"/>
      <c r="J16" s="36"/>
      <c r="K16" s="30"/>
      <c r="L16" s="11">
        <f t="shared" ref="L16:L29" si="0">C16-C15</f>
        <v>17.88</v>
      </c>
      <c r="M16" s="30">
        <f t="shared" ref="M16:M29" si="1">-(G16-G15)</f>
        <v>0.13999999999998636</v>
      </c>
      <c r="N16" s="87">
        <f>M16/L16</f>
        <v>7.8299776286345837E-3</v>
      </c>
      <c r="O16" s="88"/>
      <c r="P16" s="88"/>
    </row>
    <row r="17" spans="2:16" ht="16.5" customHeight="1" x14ac:dyDescent="0.3">
      <c r="B17" s="56"/>
      <c r="C17" s="29">
        <v>26.65</v>
      </c>
      <c r="D17" s="36"/>
      <c r="E17" s="30">
        <v>98.35</v>
      </c>
      <c r="F17" s="36"/>
      <c r="G17" s="30"/>
      <c r="H17" s="36"/>
      <c r="I17" s="30"/>
      <c r="J17" s="36"/>
      <c r="K17" s="30"/>
      <c r="L17" s="11">
        <f t="shared" si="0"/>
        <v>8.77</v>
      </c>
      <c r="M17" s="30">
        <f t="shared" si="1"/>
        <v>99.43</v>
      </c>
      <c r="N17" s="87">
        <f t="shared" ref="N17:N27" si="2">M17/L17</f>
        <v>11.337514253135691</v>
      </c>
      <c r="O17" s="88"/>
      <c r="P17" s="88"/>
    </row>
    <row r="18" spans="2:16" ht="16.5" customHeight="1" x14ac:dyDescent="0.3">
      <c r="B18" s="56"/>
      <c r="C18" s="29">
        <v>32.76</v>
      </c>
      <c r="D18" s="36"/>
      <c r="E18" s="30">
        <v>97.21</v>
      </c>
      <c r="F18" s="36"/>
      <c r="G18" s="30">
        <v>99.05</v>
      </c>
      <c r="H18" s="36"/>
      <c r="I18" s="30"/>
      <c r="J18" s="36"/>
      <c r="K18" s="30"/>
      <c r="L18" s="11">
        <f t="shared" si="0"/>
        <v>6.1099999999999994</v>
      </c>
      <c r="M18" s="30">
        <f t="shared" si="1"/>
        <v>-99.05</v>
      </c>
      <c r="N18" s="87">
        <f t="shared" si="2"/>
        <v>-16.211129296235679</v>
      </c>
      <c r="O18" s="88"/>
      <c r="P18" s="88"/>
    </row>
    <row r="19" spans="2:16" ht="16.5" customHeight="1" x14ac:dyDescent="0.3">
      <c r="B19" s="56"/>
      <c r="C19" s="29">
        <v>42.68</v>
      </c>
      <c r="D19" s="36"/>
      <c r="E19" s="30">
        <v>98.47</v>
      </c>
      <c r="F19" s="36"/>
      <c r="G19" s="30">
        <v>99.03</v>
      </c>
      <c r="H19" s="36"/>
      <c r="I19" s="30"/>
      <c r="J19" s="36"/>
      <c r="K19" s="30"/>
      <c r="L19" s="11">
        <f t="shared" si="0"/>
        <v>9.9200000000000017</v>
      </c>
      <c r="M19" s="30">
        <f t="shared" si="1"/>
        <v>1.9999999999996021E-2</v>
      </c>
      <c r="N19" s="87">
        <f t="shared" si="2"/>
        <v>2.0161290322576629E-3</v>
      </c>
      <c r="O19" s="88"/>
      <c r="P19" s="88"/>
    </row>
    <row r="20" spans="2:16" ht="16.5" customHeight="1" x14ac:dyDescent="0.3">
      <c r="B20" s="56"/>
      <c r="C20" s="29">
        <v>52.19</v>
      </c>
      <c r="D20" s="36"/>
      <c r="E20" s="30">
        <v>98.37</v>
      </c>
      <c r="F20" s="36"/>
      <c r="G20" s="30"/>
      <c r="H20" s="36"/>
      <c r="I20" s="30"/>
      <c r="J20" s="36"/>
      <c r="K20" s="30"/>
      <c r="L20" s="11">
        <f t="shared" si="0"/>
        <v>9.509999999999998</v>
      </c>
      <c r="M20" s="30">
        <f t="shared" si="1"/>
        <v>99.03</v>
      </c>
      <c r="N20" s="87">
        <f t="shared" si="2"/>
        <v>10.413249211356469</v>
      </c>
      <c r="O20" s="88"/>
      <c r="P20" s="88"/>
    </row>
    <row r="21" spans="2:16" ht="16.5" customHeight="1" x14ac:dyDescent="0.3">
      <c r="B21" s="56"/>
      <c r="C21" s="29">
        <v>62.86</v>
      </c>
      <c r="D21" s="36"/>
      <c r="E21" s="30">
        <v>97.86</v>
      </c>
      <c r="F21" s="36"/>
      <c r="G21" s="30">
        <v>99.02</v>
      </c>
      <c r="H21" s="36"/>
      <c r="I21" s="30"/>
      <c r="J21" s="36"/>
      <c r="K21" s="30"/>
      <c r="L21" s="11">
        <f t="shared" si="0"/>
        <v>10.670000000000002</v>
      </c>
      <c r="M21" s="30">
        <f t="shared" si="1"/>
        <v>-99.02</v>
      </c>
      <c r="N21" s="87">
        <f t="shared" si="2"/>
        <v>-9.2802249297094637</v>
      </c>
      <c r="O21" s="88"/>
      <c r="P21" s="88"/>
    </row>
    <row r="22" spans="2:16" ht="16.5" customHeight="1" x14ac:dyDescent="0.3">
      <c r="B22" s="56"/>
      <c r="C22" s="29">
        <v>70.069999999999993</v>
      </c>
      <c r="D22" s="36"/>
      <c r="E22" s="30">
        <v>98.36</v>
      </c>
      <c r="F22" s="36"/>
      <c r="G22" s="30">
        <v>98.96</v>
      </c>
      <c r="H22" s="36"/>
      <c r="I22" s="30"/>
      <c r="J22" s="36"/>
      <c r="K22" s="30"/>
      <c r="L22" s="11">
        <f t="shared" si="0"/>
        <v>7.2099999999999937</v>
      </c>
      <c r="M22" s="30">
        <f t="shared" si="1"/>
        <v>6.0000000000002274E-2</v>
      </c>
      <c r="N22" s="87">
        <f t="shared" si="2"/>
        <v>8.3217753120668966E-3</v>
      </c>
      <c r="O22" s="88"/>
      <c r="P22" s="88"/>
    </row>
    <row r="23" spans="2:16" ht="16.5" customHeight="1" x14ac:dyDescent="0.3">
      <c r="B23" s="56"/>
      <c r="C23" s="29">
        <v>78.56</v>
      </c>
      <c r="D23" s="36"/>
      <c r="E23" s="30">
        <v>97.73</v>
      </c>
      <c r="F23" s="36"/>
      <c r="G23" s="30"/>
      <c r="H23" s="36"/>
      <c r="I23" s="30"/>
      <c r="J23" s="36"/>
      <c r="K23" s="30"/>
      <c r="L23" s="11">
        <f>C23-C22</f>
        <v>8.4900000000000091</v>
      </c>
      <c r="M23" s="30">
        <f t="shared" si="1"/>
        <v>98.96</v>
      </c>
      <c r="N23" s="87">
        <f t="shared" si="2"/>
        <v>11.656065959952873</v>
      </c>
      <c r="O23" s="88"/>
      <c r="P23" s="88"/>
    </row>
    <row r="24" spans="2:16" ht="16.5" customHeight="1" x14ac:dyDescent="0.3">
      <c r="B24" s="56"/>
      <c r="C24" s="29">
        <v>83.83</v>
      </c>
      <c r="D24" s="36"/>
      <c r="E24" s="30">
        <v>97.78</v>
      </c>
      <c r="F24" s="36"/>
      <c r="G24" s="30"/>
      <c r="H24" s="36"/>
      <c r="I24" s="30"/>
      <c r="J24" s="36"/>
      <c r="K24" s="30"/>
      <c r="L24" s="11">
        <f t="shared" si="0"/>
        <v>5.269999999999996</v>
      </c>
      <c r="M24" s="30">
        <f t="shared" si="1"/>
        <v>0</v>
      </c>
      <c r="N24" s="87">
        <f t="shared" si="2"/>
        <v>0</v>
      </c>
      <c r="O24" s="88"/>
      <c r="P24" s="88"/>
    </row>
    <row r="25" spans="2:16" ht="16.5" customHeight="1" x14ac:dyDescent="0.3">
      <c r="B25" s="56"/>
      <c r="C25" s="29">
        <v>90.56</v>
      </c>
      <c r="D25" s="36"/>
      <c r="E25" s="30">
        <v>97.9</v>
      </c>
      <c r="F25" s="36"/>
      <c r="G25" s="30">
        <v>98.92</v>
      </c>
      <c r="H25" s="36"/>
      <c r="I25" s="30"/>
      <c r="J25" s="36"/>
      <c r="K25" s="30"/>
      <c r="L25" s="11">
        <f t="shared" si="0"/>
        <v>6.730000000000004</v>
      </c>
      <c r="M25" s="30">
        <f t="shared" si="1"/>
        <v>-98.92</v>
      </c>
      <c r="N25" s="87">
        <f t="shared" si="2"/>
        <v>-14.698365527488848</v>
      </c>
      <c r="O25" s="88"/>
      <c r="P25" s="88"/>
    </row>
    <row r="26" spans="2:16" ht="16.5" customHeight="1" x14ac:dyDescent="0.3">
      <c r="B26" s="56"/>
      <c r="C26" s="29">
        <v>101.03</v>
      </c>
      <c r="D26" s="36"/>
      <c r="E26" s="30">
        <v>98.08</v>
      </c>
      <c r="F26" s="36"/>
      <c r="G26" s="30">
        <v>98.87</v>
      </c>
      <c r="H26" s="36"/>
      <c r="I26" s="30"/>
      <c r="J26" s="36"/>
      <c r="K26" s="30"/>
      <c r="L26" s="11">
        <f t="shared" si="0"/>
        <v>10.469999999999999</v>
      </c>
      <c r="M26" s="30">
        <f t="shared" si="1"/>
        <v>4.9999999999997158E-2</v>
      </c>
      <c r="N26" s="87">
        <f t="shared" si="2"/>
        <v>4.7755491881563668E-3</v>
      </c>
      <c r="O26" s="88"/>
      <c r="P26" s="88"/>
    </row>
    <row r="27" spans="2:16" ht="16.5" customHeight="1" x14ac:dyDescent="0.3">
      <c r="B27" s="56"/>
      <c r="C27" s="29">
        <v>106.66</v>
      </c>
      <c r="D27" s="36"/>
      <c r="E27" s="30">
        <v>97.67</v>
      </c>
      <c r="F27" s="36"/>
      <c r="G27" s="30"/>
      <c r="H27" s="36"/>
      <c r="I27" s="30"/>
      <c r="J27" s="36"/>
      <c r="K27" s="30"/>
      <c r="L27" s="11">
        <f t="shared" si="0"/>
        <v>5.6299999999999955</v>
      </c>
      <c r="M27" s="30">
        <f t="shared" si="1"/>
        <v>98.87</v>
      </c>
      <c r="N27" s="87">
        <f t="shared" si="2"/>
        <v>17.561278863232697</v>
      </c>
      <c r="O27" s="88"/>
      <c r="P27" s="88"/>
    </row>
    <row r="28" spans="2:16" ht="16.5" customHeight="1" x14ac:dyDescent="0.3">
      <c r="B28" s="56"/>
      <c r="C28" s="29">
        <v>111.56</v>
      </c>
      <c r="D28" s="36"/>
      <c r="E28" s="30">
        <v>98.24</v>
      </c>
      <c r="F28" s="36"/>
      <c r="G28" s="30">
        <v>98.79</v>
      </c>
      <c r="H28" s="36"/>
      <c r="I28" s="30"/>
      <c r="J28" s="36"/>
      <c r="K28" s="30"/>
      <c r="L28" s="11">
        <f t="shared" si="0"/>
        <v>4.9000000000000057</v>
      </c>
      <c r="M28" s="30">
        <f t="shared" si="1"/>
        <v>-98.79</v>
      </c>
      <c r="N28" s="87">
        <f t="shared" ref="N28:N29" si="3">M28/L28</f>
        <v>-20.161224489795895</v>
      </c>
      <c r="O28" s="88"/>
      <c r="P28" s="88"/>
    </row>
    <row r="29" spans="2:16" ht="16.5" customHeight="1" x14ac:dyDescent="0.3">
      <c r="B29" s="56"/>
      <c r="C29" s="29">
        <v>116.85</v>
      </c>
      <c r="D29" s="36"/>
      <c r="E29" s="30">
        <v>97.64</v>
      </c>
      <c r="F29" s="36"/>
      <c r="G29" s="30">
        <v>98.81</v>
      </c>
      <c r="H29" s="36"/>
      <c r="I29" s="30"/>
      <c r="J29" s="36"/>
      <c r="K29" s="30"/>
      <c r="L29" s="11">
        <f t="shared" si="0"/>
        <v>5.289999999999992</v>
      </c>
      <c r="M29" s="30">
        <f t="shared" si="1"/>
        <v>-1.9999999999996021E-2</v>
      </c>
      <c r="N29" s="87">
        <f t="shared" si="3"/>
        <v>-3.7807183364831853E-3</v>
      </c>
      <c r="O29" s="88"/>
      <c r="P29" s="88"/>
    </row>
    <row r="30" spans="2:16" ht="16.5" customHeight="1" x14ac:dyDescent="0.3">
      <c r="B30" s="56"/>
      <c r="C30" s="29">
        <v>124.36</v>
      </c>
      <c r="D30" s="36"/>
      <c r="E30" s="30">
        <v>98.33</v>
      </c>
      <c r="F30" s="36"/>
      <c r="G30" s="30">
        <v>98.8</v>
      </c>
      <c r="H30" s="36"/>
      <c r="I30" s="30"/>
      <c r="J30" s="36"/>
      <c r="K30" s="30"/>
      <c r="L30" s="11">
        <f t="shared" ref="L30" si="4">C30-C29</f>
        <v>7.5100000000000051</v>
      </c>
      <c r="M30" s="30">
        <f t="shared" ref="M30" si="5">-(G30-G29)</f>
        <v>1.0000000000005116E-2</v>
      </c>
      <c r="N30" s="87">
        <f t="shared" ref="N30" si="6">M30/L30</f>
        <v>1.3315579227703208E-3</v>
      </c>
      <c r="O30" s="88"/>
      <c r="P30" s="88"/>
    </row>
    <row r="31" spans="2:16" ht="16.5" customHeight="1" x14ac:dyDescent="0.3">
      <c r="B31" s="56"/>
      <c r="C31" s="29">
        <v>127.29</v>
      </c>
      <c r="D31" s="36"/>
      <c r="E31" s="30">
        <v>98.13</v>
      </c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>
        <v>136.22999999999999</v>
      </c>
      <c r="D32" s="36"/>
      <c r="E32" s="30">
        <v>97.6</v>
      </c>
      <c r="F32" s="36"/>
      <c r="G32" s="30">
        <v>98.76</v>
      </c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>
        <v>150.29</v>
      </c>
      <c r="D33" s="36"/>
      <c r="E33" s="30">
        <v>98.41</v>
      </c>
      <c r="F33" s="36"/>
      <c r="G33" s="30">
        <v>98.73</v>
      </c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>
        <v>158.16</v>
      </c>
      <c r="D34" s="36"/>
      <c r="E34" s="30">
        <v>97.93</v>
      </c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>
        <v>165.97</v>
      </c>
      <c r="D35" s="36"/>
      <c r="E35" s="30">
        <v>97.55</v>
      </c>
      <c r="F35" s="36"/>
      <c r="G35" s="30">
        <v>98.71</v>
      </c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>
        <v>168.13</v>
      </c>
      <c r="D36" s="36"/>
      <c r="E36" s="30">
        <v>98.09</v>
      </c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>
        <v>177.48</v>
      </c>
      <c r="D37" s="91"/>
      <c r="E37" s="30">
        <v>97.89</v>
      </c>
      <c r="F37" s="36"/>
      <c r="G37" s="30">
        <v>98.71</v>
      </c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>
        <v>185.96</v>
      </c>
      <c r="D38" s="36"/>
      <c r="E38" s="30">
        <v>97.24</v>
      </c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>
        <v>194.97</v>
      </c>
      <c r="D39" s="36"/>
      <c r="E39" s="30">
        <v>97.63</v>
      </c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>
        <v>196.32</v>
      </c>
      <c r="D40" s="36"/>
      <c r="E40" s="30">
        <v>97.71</v>
      </c>
      <c r="F40" s="36"/>
      <c r="G40" s="30">
        <v>98.66</v>
      </c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>
        <v>204.57</v>
      </c>
      <c r="D41" s="36"/>
      <c r="E41" s="30">
        <v>97.99</v>
      </c>
      <c r="F41" s="36"/>
      <c r="G41" s="30">
        <v>98.61</v>
      </c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>
        <v>210.87</v>
      </c>
      <c r="D42" s="36"/>
      <c r="E42" s="30">
        <v>97.11</v>
      </c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>
        <v>217</v>
      </c>
      <c r="D43" s="36"/>
      <c r="E43" s="30">
        <v>96.76</v>
      </c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>
        <v>223.36</v>
      </c>
      <c r="D44" s="36"/>
      <c r="E44" s="30">
        <v>96.82</v>
      </c>
      <c r="F44" s="36"/>
      <c r="G44" s="30">
        <v>98.59</v>
      </c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>
        <v>227.77</v>
      </c>
      <c r="D45" s="36"/>
      <c r="E45" s="30">
        <v>98.07</v>
      </c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>
        <v>230.49</v>
      </c>
      <c r="D46" s="36"/>
      <c r="E46" s="30">
        <v>98.13</v>
      </c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>
        <v>242.34</v>
      </c>
      <c r="D47" s="36"/>
      <c r="E47" s="30">
        <v>98.2</v>
      </c>
      <c r="F47" s="95"/>
      <c r="G47" s="30">
        <v>98.53</v>
      </c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10" sqref="E10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>
        <v>91</v>
      </c>
      <c r="D7" s="102">
        <v>88</v>
      </c>
      <c r="E7" s="102">
        <v>72</v>
      </c>
      <c r="F7" s="102"/>
      <c r="G7" s="102"/>
      <c r="H7" s="13">
        <f>MIN(C7:G7)</f>
        <v>72</v>
      </c>
      <c r="I7" s="13">
        <f>MEDIAN(C7:G7)</f>
        <v>88</v>
      </c>
      <c r="J7" s="13">
        <f>MAX(C7:G7)</f>
        <v>91</v>
      </c>
    </row>
    <row r="8" spans="2:10" ht="16.5" customHeight="1" x14ac:dyDescent="0.25">
      <c r="B8" s="40" t="s">
        <v>26</v>
      </c>
      <c r="C8" s="102">
        <v>35</v>
      </c>
      <c r="D8" s="102">
        <v>35</v>
      </c>
      <c r="E8" s="102">
        <v>27</v>
      </c>
      <c r="F8" s="102"/>
      <c r="G8" s="102"/>
      <c r="H8" s="13">
        <f>MIN(C8:G8)</f>
        <v>27</v>
      </c>
      <c r="I8" s="13">
        <f>MEDIAN(C8:G8)</f>
        <v>35</v>
      </c>
      <c r="J8" s="13">
        <f>MAX(C8:G8)</f>
        <v>35</v>
      </c>
    </row>
    <row r="9" spans="2:10" ht="16.5" customHeight="1" x14ac:dyDescent="0.25">
      <c r="B9" s="40" t="s">
        <v>88</v>
      </c>
      <c r="C9" s="102">
        <v>18</v>
      </c>
      <c r="D9" s="102">
        <v>45</v>
      </c>
      <c r="E9" s="102">
        <v>37</v>
      </c>
      <c r="F9" s="102"/>
      <c r="G9" s="102"/>
      <c r="H9" s="13">
        <f>MIN(C9:G9)</f>
        <v>18</v>
      </c>
      <c r="I9" s="13">
        <f>MEDIAN(C9:G9)</f>
        <v>37</v>
      </c>
      <c r="J9" s="13">
        <f>MAX(C9:G9)</f>
        <v>45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