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3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/>
  <c r="F31" i="81"/>
  <c r="G31" i="81"/>
  <c r="H31" i="81"/>
  <c r="F32" i="81"/>
  <c r="G32" i="81"/>
  <c r="H32" i="81" s="1"/>
  <c r="F33" i="81"/>
  <c r="G33" i="81"/>
  <c r="H33" i="81" s="1"/>
  <c r="F34" i="81"/>
  <c r="G34" i="81"/>
  <c r="H34" i="81" s="1"/>
  <c r="F35" i="81"/>
  <c r="G35" i="81"/>
  <c r="H35" i="81"/>
  <c r="F36" i="81"/>
  <c r="G36" i="81"/>
  <c r="H36" i="81" s="1"/>
  <c r="F37" i="81"/>
  <c r="H37" i="81" s="1"/>
  <c r="G37" i="81"/>
  <c r="K29" i="81" l="1"/>
  <c r="K31" i="81"/>
  <c r="G15" i="81" s="1"/>
  <c r="C23" i="73" s="1"/>
  <c r="K40" i="81"/>
  <c r="G12" i="81"/>
  <c r="C20" i="73" s="1"/>
  <c r="G14" i="8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G7" i="81"/>
  <c r="C15" i="73" s="1"/>
  <c r="F38" i="81"/>
  <c r="G38" i="81"/>
  <c r="H38" i="81" l="1"/>
  <c r="K34" i="81"/>
  <c r="K37" i="81" s="1"/>
  <c r="G13" i="81" s="1"/>
  <c r="C21" i="73" s="1"/>
  <c r="K30" i="81" l="1"/>
  <c r="G6" i="81" s="1"/>
  <c r="C14" i="73" s="1"/>
  <c r="G10" i="81"/>
  <c r="C18" i="73" s="1"/>
  <c r="K32" i="81" l="1"/>
  <c r="K42" i="81" s="1"/>
  <c r="K43" i="81" s="1"/>
  <c r="K44" i="81" s="1"/>
  <c r="K46" i="81" l="1"/>
  <c r="G20" i="81" s="1"/>
  <c r="C27" i="73" s="1"/>
  <c r="K33" i="81"/>
  <c r="G9" i="81" s="1"/>
  <c r="C17" i="73" s="1"/>
  <c r="K35" i="81"/>
  <c r="G11" i="81" s="1"/>
  <c r="C19" i="73" s="1"/>
  <c r="G8" i="81"/>
  <c r="C16" i="73" s="1"/>
  <c r="G18" i="81"/>
  <c r="C25" i="73" s="1"/>
  <c r="K45" i="81"/>
  <c r="G19" i="81" s="1"/>
  <c r="C26" i="73" s="1"/>
  <c r="K48" i="81"/>
  <c r="G22" i="81" s="1"/>
  <c r="C29" i="73" s="1"/>
  <c r="K49" i="81"/>
  <c r="G23" i="81" s="1"/>
  <c r="C30" i="73" s="1"/>
  <c r="K47" i="81" l="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<sst xmlns="http://schemas.openxmlformats.org/spreadsheetml/2006/main" count="172" uniqueCount="111">
  <si>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</si>
  <si>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</si>
  <si>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</si>
  <si>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</si>
  <si>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</si>
  <si>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</si>
  <si>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</si>
  <si>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</si>
  <si>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</si>
  <si>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</si>
  <si>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</si>
  <si>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</si>
  <si>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</si>
  <si>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</si>
  <si>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</si>
  <si>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</si>
  <si>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</si>
  <si>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</si>
  <si>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</si>
  <si>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</si>
  <si>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</si>
  <si>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</si>
  <si>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</si>
  <si>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</si>
  <si>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</si>
  <si>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</si>
  <si>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</si>
  <si>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</si>
  <si>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</si>
  <si>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</si>
  <si>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</si>
  <si>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</si>
  <si>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</si>
  <si>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</si>
  <si>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</si>
  <si>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</si>
  <si>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</si>
  <si>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</si>
  <si>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</si>
  <si>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</si>
  <si>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</si>
  <si>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</si>
  <si>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</si>
  <si>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</si>
  <si>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</si>
  <si>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</si>
  <si>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</si>
  <si>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</si>
  <si>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</si>
  <si>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</si>
  <si>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</si>
  <si>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</si>
  <si>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</si>
  <si>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</si>
  <si>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</si>
  <si>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</si>
  <si>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</si>
  <si>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</si>
  <si>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</si>
  <si>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</si>
  <si>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</si>
  <si>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</si>
  <si>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</si>
  <si>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</si>
  <si>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</si>
  <si>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</si>
  <si>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</si>
  <si>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</si>
  <si>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</si>
  <si>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</si>
  <si>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</si>
  <si>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</si>
  <si>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</si>
  <si>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</si>
  <si>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</si>
  <si>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</si>
  <si>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</si>
  <si>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</si>
  <si>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</si>
  <si>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</si>
  <si>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</si>
  <si>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</si>
  <si>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</si>
  <si>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</si>
  <si>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</si>
  <si>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</si>
  <si>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</si>
  <si>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</si>
  <si>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</si>
  <si>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</si>
  <si>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</si>
  <si>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</si>
  <si>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</si>
  <si>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</si>
  <si>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</si>
  <si>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</si>
  <si>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</si>
  <si>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</si>
  <si>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</si>
  <si>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</si>
  <si>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</si>
  <si>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</si>
  <si>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</si>
  <si>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</si>
  <si>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Buck Branch, Bowman Nature Park</t>
  </si>
  <si>
    <t>33.360504, -80.698106</t>
  </si>
  <si>
    <t>Buck Branch</t>
  </si>
  <si>
    <t>sand</t>
  </si>
  <si>
    <t>&gt;290</t>
  </si>
  <si>
    <t>&gt;10.0</t>
  </si>
  <si>
    <t>E5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</si>
</sst>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6.3800000000000008</c:v>
                </c:pt>
                <c:pt idx="2">
                  <c:v>6.64</c:v>
                </c:pt>
                <c:pt idx="3">
                  <c:v>6.99</c:v>
                </c:pt>
                <c:pt idx="4">
                  <c:v>8.1400000000000023</c:v>
                </c:pt>
                <c:pt idx="5">
                  <c:v>9.4800000000000022</c:v>
                </c:pt>
                <c:pt idx="6">
                  <c:v>21.120000000000005</c:v>
                </c:pt>
                <c:pt idx="7">
                  <c:v>29.67</c:v>
                </c:pt>
                <c:pt idx="8">
                  <c:v>33.07</c:v>
                </c:pt>
                <c:pt idx="9">
                  <c:v>35.67</c:v>
                </c:pt>
                <c:pt idx="10">
                  <c:v>46.38</c:v>
                </c:pt>
                <c:pt idx="11">
                  <c:v>86.3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98.94</c:v>
                </c:pt>
                <c:pt idx="1">
                  <c:v>99.1</c:v>
                </c:pt>
                <c:pt idx="2">
                  <c:v>98.91</c:v>
                </c:pt>
                <c:pt idx="3">
                  <c:v>98.67</c:v>
                </c:pt>
                <c:pt idx="4">
                  <c:v>96.06</c:v>
                </c:pt>
                <c:pt idx="5">
                  <c:v>95.56</c:v>
                </c:pt>
                <c:pt idx="6">
                  <c:v>95.57</c:v>
                </c:pt>
                <c:pt idx="7">
                  <c:v>96.84</c:v>
                </c:pt>
                <c:pt idx="8">
                  <c:v>98.7</c:v>
                </c:pt>
                <c:pt idx="9">
                  <c:v>98.91</c:v>
                </c:pt>
                <c:pt idx="10">
                  <c:v>98.77</c:v>
                </c:pt>
                <c:pt idx="11">
                  <c:v>100.32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1819416"/>
        <c:axId val="333377920"/>
      </c:scatterChart>
      <c:valAx>
        <c:axId val="331819416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3377920"/>
        <c:crosses val="autoZero"/>
        <c:crossBetween val="midCat"/>
      </c:valAx>
      <c:valAx>
        <c:axId val="33337792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331819416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33379880"/>
        <c:axId val="333378312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333379880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333378312"/>
        <c:crosses val="autoZero"/>
        <c:crossBetween val="midCat"/>
        <c:minorUnit val="25"/>
      </c:valAx>
      <c:valAx>
        <c:axId val="333378312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333379880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7" sqref="B7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43865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25" t="s">
        <v>50</v>
      </c>
      <c r="D5" s="125"/>
      <c r="E5" s="125"/>
    </row>
    <row r="6" spans="2:5" ht="16.95" customHeight="1" thickTop="1" x14ac:dyDescent="0.25">
      <c r="B6" s="15" t="s">
        <v>60</v>
      </c>
      <c r="C6" s="126" t="s">
        <v>106</v>
      </c>
      <c r="D6" s="127"/>
      <c r="E6" s="128"/>
    </row>
    <row r="7" spans="2:5" ht="16.95" customHeight="1" x14ac:dyDescent="0.25">
      <c r="B7" s="15" t="s">
        <v>59</v>
      </c>
      <c r="C7" s="129" t="s">
        <v>110</v>
      </c>
      <c r="D7" s="130"/>
      <c r="E7" s="131"/>
    </row>
    <row r="8" spans="2:5" ht="16.95" customHeight="1" x14ac:dyDescent="0.25">
      <c r="B8" s="15" t="s">
        <v>21</v>
      </c>
      <c r="C8" s="132">
        <v>13</v>
      </c>
      <c r="D8" s="133"/>
      <c r="E8" s="134"/>
    </row>
    <row r="9" spans="2:5" ht="16.95" customHeight="1" x14ac:dyDescent="0.25">
      <c r="B9" s="15" t="s">
        <v>89</v>
      </c>
      <c r="C9" s="132" t="s">
        <v>107</v>
      </c>
      <c r="D9" s="133"/>
      <c r="E9" s="134"/>
    </row>
    <row r="10" spans="2:5" ht="16.95" customHeight="1" x14ac:dyDescent="0.25">
      <c r="B10" s="15" t="s">
        <v>52</v>
      </c>
      <c r="C10" s="138">
        <f>'Longitudinal Profile'!H9</f>
        <v>3.9900249376558606E-4</v>
      </c>
      <c r="D10" s="139"/>
      <c r="E10" s="140"/>
    </row>
    <row r="11" spans="2:5" ht="16.95" customHeight="1" x14ac:dyDescent="0.25">
      <c r="B11" s="15" t="s">
        <v>53</v>
      </c>
      <c r="C11" s="144">
        <f>'Longitudinal Profile'!H11</f>
        <v>1.1000000000000001</v>
      </c>
      <c r="D11" s="145"/>
      <c r="E11" s="146"/>
    </row>
    <row r="12" spans="2:5" ht="16.95" customHeight="1" thickBot="1" x14ac:dyDescent="0.3">
      <c r="B12" s="15" t="s">
        <v>23</v>
      </c>
      <c r="C12" s="141">
        <f>'Longitudinal Profile'!H7</f>
        <v>200.5</v>
      </c>
      <c r="D12" s="142"/>
      <c r="E12" s="143"/>
    </row>
    <row r="13" spans="2:5" ht="16.95" customHeight="1" thickTop="1" x14ac:dyDescent="0.25">
      <c r="B13" s="116" t="s">
        <v>17</v>
      </c>
      <c r="C13" s="135" t="s">
        <v>64</v>
      </c>
      <c r="D13" s="136"/>
      <c r="E13" s="137"/>
    </row>
    <row r="14" spans="2:5" ht="16.95" customHeight="1" x14ac:dyDescent="0.25">
      <c r="B14" s="114" t="s">
        <v>71</v>
      </c>
      <c r="C14" s="122">
        <f>'Cross-section'!G6</f>
        <v>72.185299999999927</v>
      </c>
      <c r="D14" s="123"/>
      <c r="E14" s="124"/>
    </row>
    <row r="15" spans="2:5" ht="16.95" customHeight="1" x14ac:dyDescent="0.25">
      <c r="B15" s="40" t="s">
        <v>72</v>
      </c>
      <c r="C15" s="122">
        <f>'Cross-section'!G7</f>
        <v>29.03</v>
      </c>
      <c r="D15" s="123">
        <f>'Cross-section'!H7</f>
        <v>0</v>
      </c>
      <c r="E15" s="124">
        <f>'Cross-section'!I7</f>
        <v>0</v>
      </c>
    </row>
    <row r="16" spans="2:5" ht="16.95" customHeight="1" x14ac:dyDescent="0.25">
      <c r="B16" s="40" t="s">
        <v>73</v>
      </c>
      <c r="C16" s="122">
        <f>'Cross-section'!G8</f>
        <v>2.486575955907679</v>
      </c>
      <c r="D16" s="123">
        <f>'Cross-section'!H8</f>
        <v>0</v>
      </c>
      <c r="E16" s="124">
        <f>'Cross-section'!I8</f>
        <v>0</v>
      </c>
    </row>
    <row r="17" spans="2:5" ht="16.95" customHeight="1" x14ac:dyDescent="0.25">
      <c r="B17" s="40" t="s">
        <v>74</v>
      </c>
      <c r="C17" s="122">
        <f>'Cross-section'!G9</f>
        <v>11.674688613886774</v>
      </c>
      <c r="D17" s="123">
        <f>'Cross-section'!H9</f>
        <v>0</v>
      </c>
      <c r="E17" s="124">
        <f>'Cross-section'!I9</f>
        <v>0</v>
      </c>
    </row>
    <row r="18" spans="2:5" ht="16.95" customHeight="1" x14ac:dyDescent="0.25">
      <c r="B18" s="40" t="s">
        <v>75</v>
      </c>
      <c r="C18" s="122">
        <f>'Cross-section'!G10</f>
        <v>3.3499999999999943</v>
      </c>
      <c r="D18" s="123">
        <f>'Cross-section'!H10</f>
        <v>0</v>
      </c>
      <c r="E18" s="124">
        <f>'Cross-section'!I10</f>
        <v>0</v>
      </c>
    </row>
    <row r="19" spans="2:5" ht="16.95" customHeight="1" x14ac:dyDescent="0.25">
      <c r="B19" s="40" t="s">
        <v>76</v>
      </c>
      <c r="C19" s="122">
        <f>'Cross-section'!G11</f>
        <v>1.3472341321571004</v>
      </c>
      <c r="D19" s="123">
        <f>'Cross-section'!H11</f>
        <v>0</v>
      </c>
      <c r="E19" s="124">
        <f>'Cross-section'!I11</f>
        <v>0</v>
      </c>
    </row>
    <row r="20" spans="2:5" ht="16.95" customHeight="1" x14ac:dyDescent="0.25">
      <c r="B20" s="40" t="s">
        <v>25</v>
      </c>
      <c r="C20" s="122">
        <f>'Cross-section'!G12</f>
        <v>3.34</v>
      </c>
      <c r="D20" s="123">
        <f>'Cross-section'!H12</f>
        <v>0</v>
      </c>
      <c r="E20" s="124">
        <f>'Cross-section'!I12</f>
        <v>0</v>
      </c>
    </row>
    <row r="21" spans="2:5" ht="16.95" customHeight="1" x14ac:dyDescent="0.25">
      <c r="B21" s="40" t="s">
        <v>77</v>
      </c>
      <c r="C21" s="122">
        <f>'Cross-section'!G13</f>
        <v>0.99701492537313596</v>
      </c>
      <c r="D21" s="123">
        <f>'Cross-section'!H13</f>
        <v>0</v>
      </c>
      <c r="E21" s="124">
        <f>'Cross-section'!I13</f>
        <v>0</v>
      </c>
    </row>
    <row r="22" spans="2:5" ht="16.95" customHeight="1" x14ac:dyDescent="0.25">
      <c r="B22" s="40" t="s">
        <v>78</v>
      </c>
      <c r="C22" s="122" t="str">
        <f>'Cross-section'!G14</f>
        <v>&gt;290</v>
      </c>
      <c r="D22" s="123">
        <f>'Cross-section'!H14</f>
        <v>0</v>
      </c>
      <c r="E22" s="124">
        <f>'Cross-section'!I14</f>
        <v>0</v>
      </c>
    </row>
    <row r="23" spans="2:5" ht="16.95" customHeight="1" thickBot="1" x14ac:dyDescent="0.3">
      <c r="B23" s="115" t="s">
        <v>79</v>
      </c>
      <c r="C23" s="122" t="str">
        <f>'Cross-section'!G15</f>
        <v>&gt;10.0</v>
      </c>
      <c r="D23" s="123">
        <f>'Cross-section'!H15</f>
        <v>0</v>
      </c>
      <c r="E23" s="124">
        <f>'Cross-section'!I15</f>
        <v>0</v>
      </c>
    </row>
    <row r="24" spans="2:5" ht="16.95" customHeight="1" thickTop="1" x14ac:dyDescent="0.25">
      <c r="B24" s="116" t="s">
        <v>17</v>
      </c>
      <c r="C24" s="152" t="s">
        <v>54</v>
      </c>
      <c r="D24" s="153"/>
      <c r="E24" s="154"/>
    </row>
    <row r="25" spans="2:5" ht="16.95" customHeight="1" x14ac:dyDescent="0.25">
      <c r="B25" s="40" t="s">
        <v>80</v>
      </c>
      <c r="C25" s="122">
        <f>'Cross-section'!G18</f>
        <v>78.880991694332593</v>
      </c>
      <c r="D25" s="123">
        <f>'Cross-section'!H18</f>
        <v>0</v>
      </c>
      <c r="E25" s="124">
        <f>'Cross-section'!I18</f>
        <v>0</v>
      </c>
    </row>
    <row r="26" spans="2:5" ht="16.95" customHeight="1" x14ac:dyDescent="0.25">
      <c r="B26" s="40" t="s">
        <v>81</v>
      </c>
      <c r="C26" s="122">
        <f>'Cross-section'!G19</f>
        <v>1.0927569975373472</v>
      </c>
      <c r="D26" s="123">
        <f>'Cross-section'!H19</f>
        <v>0</v>
      </c>
      <c r="E26" s="124">
        <f>'Cross-section'!I19</f>
        <v>0</v>
      </c>
    </row>
    <row r="27" spans="2:5" ht="16.95" customHeight="1" x14ac:dyDescent="0.25">
      <c r="B27" s="40" t="s">
        <v>51</v>
      </c>
      <c r="C27" s="122">
        <f>'Cross-section'!G20</f>
        <v>5.2855451834752709E-2</v>
      </c>
      <c r="D27" s="123">
        <f>'Cross-section'!H20</f>
        <v>0</v>
      </c>
      <c r="E27" s="124">
        <f>'Cross-section'!I20</f>
        <v>0</v>
      </c>
    </row>
    <row r="28" spans="2:5" ht="16.95" customHeight="1" x14ac:dyDescent="0.25">
      <c r="B28" s="40" t="s">
        <v>82</v>
      </c>
      <c r="C28" s="122">
        <f>'Cross-section'!G21</f>
        <v>5.7758164850424239E-2</v>
      </c>
      <c r="D28" s="123">
        <f>'Cross-section'!H21</f>
        <v>0</v>
      </c>
      <c r="E28" s="124">
        <f>'Cross-section'!I21</f>
        <v>0</v>
      </c>
    </row>
    <row r="29" spans="2:5" ht="16.95" customHeight="1" x14ac:dyDescent="0.25">
      <c r="B29" s="15" t="s">
        <v>66</v>
      </c>
      <c r="C29" s="122">
        <f>'Cross-section'!G22</f>
        <v>4.2940071403737594</v>
      </c>
      <c r="D29" s="123">
        <f>'Cross-section'!H22</f>
        <v>0</v>
      </c>
      <c r="E29" s="124">
        <f>'Cross-section'!I22</f>
        <v>0</v>
      </c>
    </row>
    <row r="30" spans="2:5" ht="16.95" customHeight="1" thickBot="1" x14ac:dyDescent="0.3">
      <c r="B30" s="15" t="s">
        <v>67</v>
      </c>
      <c r="C30" s="122">
        <f>'Cross-section'!G23</f>
        <v>12.969598887797124</v>
      </c>
      <c r="D30" s="123">
        <f>'Cross-section'!H23</f>
        <v>0</v>
      </c>
      <c r="E30" s="124">
        <f>'Cross-section'!I23</f>
        <v>0</v>
      </c>
    </row>
    <row r="31" spans="2:5" ht="16.95" customHeight="1" thickTop="1" x14ac:dyDescent="0.25">
      <c r="B31" s="150" t="s">
        <v>17</v>
      </c>
      <c r="C31" s="147" t="s">
        <v>57</v>
      </c>
      <c r="D31" s="148"/>
      <c r="E31" s="149"/>
    </row>
    <row r="32" spans="2:5" ht="16.95" customHeight="1" thickBot="1" x14ac:dyDescent="0.3">
      <c r="B32" s="151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0" t="s">
        <v>17</v>
      </c>
      <c r="C39" s="147" t="s">
        <v>58</v>
      </c>
      <c r="D39" s="148"/>
      <c r="E39" s="149"/>
    </row>
    <row r="40" spans="2:5" ht="16.95" customHeight="1" thickBot="1" x14ac:dyDescent="0.3">
      <c r="B40" s="151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G2" sqref="G2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70" t="s">
        <v>71</v>
      </c>
      <c r="C6" s="171"/>
      <c r="D6" s="171"/>
      <c r="E6" s="171"/>
      <c r="F6" s="172"/>
      <c r="G6" s="158">
        <f>K30</f>
        <v>72.185299999999927</v>
      </c>
      <c r="H6" s="159"/>
      <c r="I6" s="160"/>
      <c r="K6" s="5"/>
      <c r="L6" s="5"/>
    </row>
    <row r="7" spans="2:12" ht="16.5" customHeight="1" x14ac:dyDescent="0.25">
      <c r="B7" s="170" t="s">
        <v>72</v>
      </c>
      <c r="C7" s="171"/>
      <c r="D7" s="171"/>
      <c r="E7" s="171"/>
      <c r="F7" s="172"/>
      <c r="G7" s="158">
        <f t="shared" ref="G7:G15" si="0">K31</f>
        <v>29.03</v>
      </c>
      <c r="H7" s="159"/>
      <c r="I7" s="160"/>
      <c r="J7" s="12"/>
      <c r="K7" s="5"/>
      <c r="L7" s="5"/>
    </row>
    <row r="8" spans="2:12" ht="16.5" customHeight="1" x14ac:dyDescent="0.25">
      <c r="B8" s="170" t="s">
        <v>73</v>
      </c>
      <c r="C8" s="171"/>
      <c r="D8" s="171"/>
      <c r="E8" s="171"/>
      <c r="F8" s="172"/>
      <c r="G8" s="158">
        <f t="shared" si="0"/>
        <v>2.486575955907679</v>
      </c>
      <c r="H8" s="159"/>
      <c r="I8" s="160"/>
      <c r="J8" s="12"/>
      <c r="K8" s="5"/>
      <c r="L8" s="5"/>
    </row>
    <row r="9" spans="2:12" ht="16.5" customHeight="1" x14ac:dyDescent="0.25">
      <c r="B9" s="170" t="s">
        <v>74</v>
      </c>
      <c r="C9" s="171"/>
      <c r="D9" s="171"/>
      <c r="E9" s="171"/>
      <c r="F9" s="172"/>
      <c r="G9" s="158">
        <f t="shared" si="0"/>
        <v>11.674688613886774</v>
      </c>
      <c r="H9" s="159"/>
      <c r="I9" s="160"/>
      <c r="J9" s="12"/>
      <c r="K9" s="5"/>
      <c r="L9" s="5"/>
    </row>
    <row r="10" spans="2:12" ht="16.5" customHeight="1" x14ac:dyDescent="0.25">
      <c r="B10" s="170" t="s">
        <v>75</v>
      </c>
      <c r="C10" s="171"/>
      <c r="D10" s="171"/>
      <c r="E10" s="171"/>
      <c r="F10" s="172"/>
      <c r="G10" s="158">
        <f t="shared" si="0"/>
        <v>3.3499999999999943</v>
      </c>
      <c r="H10" s="159"/>
      <c r="I10" s="160"/>
      <c r="J10" s="12"/>
      <c r="K10" s="5"/>
      <c r="L10" s="5"/>
    </row>
    <row r="11" spans="2:12" ht="16.5" customHeight="1" x14ac:dyDescent="0.25">
      <c r="B11" s="170" t="s">
        <v>76</v>
      </c>
      <c r="C11" s="171"/>
      <c r="D11" s="171"/>
      <c r="E11" s="171"/>
      <c r="F11" s="172"/>
      <c r="G11" s="158">
        <f t="shared" si="0"/>
        <v>1.3472341321571004</v>
      </c>
      <c r="H11" s="159"/>
      <c r="I11" s="160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58">
        <f t="shared" si="0"/>
        <v>3.34</v>
      </c>
      <c r="H12" s="159"/>
      <c r="I12" s="160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58">
        <f t="shared" si="0"/>
        <v>0.99701492537313596</v>
      </c>
      <c r="H13" s="159"/>
      <c r="I13" s="160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58" t="str">
        <f t="shared" si="0"/>
        <v>&gt;290</v>
      </c>
      <c r="H14" s="159"/>
      <c r="I14" s="160"/>
      <c r="J14" s="12"/>
      <c r="K14" s="5"/>
      <c r="L14" s="5"/>
    </row>
    <row r="15" spans="2:12" ht="16.5" customHeight="1" x14ac:dyDescent="0.25">
      <c r="B15" s="170" t="s">
        <v>79</v>
      </c>
      <c r="C15" s="171"/>
      <c r="D15" s="171"/>
      <c r="E15" s="171"/>
      <c r="F15" s="172"/>
      <c r="G15" s="158" t="str">
        <f t="shared" si="0"/>
        <v>&gt;10.0</v>
      </c>
      <c r="H15" s="159"/>
      <c r="I15" s="160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70" t="s">
        <v>80</v>
      </c>
      <c r="C18" s="171"/>
      <c r="D18" s="171"/>
      <c r="E18" s="171"/>
      <c r="F18" s="172"/>
      <c r="G18" s="155">
        <f>K44</f>
        <v>78.880991694332593</v>
      </c>
      <c r="H18" s="156"/>
      <c r="I18" s="157"/>
      <c r="K18" s="5"/>
      <c r="L18" s="5"/>
    </row>
    <row r="19" spans="2:12" ht="16.5" customHeight="1" x14ac:dyDescent="0.25">
      <c r="B19" s="170" t="s">
        <v>81</v>
      </c>
      <c r="C19" s="171"/>
      <c r="D19" s="171"/>
      <c r="E19" s="171"/>
      <c r="F19" s="172"/>
      <c r="G19" s="122">
        <f t="shared" ref="G19:G23" si="1">K45</f>
        <v>1.0927569975373472</v>
      </c>
      <c r="H19" s="123"/>
      <c r="I19" s="124"/>
      <c r="K19" s="5"/>
      <c r="L19" s="5"/>
    </row>
    <row r="20" spans="2:12" ht="16.5" customHeight="1" x14ac:dyDescent="0.25">
      <c r="B20" s="170" t="s">
        <v>82</v>
      </c>
      <c r="C20" s="171"/>
      <c r="D20" s="171"/>
      <c r="E20" s="171"/>
      <c r="F20" s="172"/>
      <c r="G20" s="122">
        <f t="shared" si="1"/>
        <v>5.2855451834752709E-2</v>
      </c>
      <c r="H20" s="123"/>
      <c r="I20" s="124"/>
      <c r="J20" s="2"/>
      <c r="K20" s="5"/>
      <c r="L20" s="5"/>
    </row>
    <row r="21" spans="2:12" ht="16.5" customHeight="1" x14ac:dyDescent="0.25">
      <c r="B21" s="170" t="s">
        <v>49</v>
      </c>
      <c r="C21" s="171"/>
      <c r="D21" s="171"/>
      <c r="E21" s="171"/>
      <c r="F21" s="172"/>
      <c r="G21" s="122">
        <f t="shared" si="1"/>
        <v>5.7758164850424239E-2</v>
      </c>
      <c r="H21" s="123"/>
      <c r="I21" s="124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5">
        <f t="shared" si="1"/>
        <v>4.2940071403737594</v>
      </c>
      <c r="H22" s="156"/>
      <c r="I22" s="157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5">
        <f t="shared" si="1"/>
        <v>12.969598887797124</v>
      </c>
      <c r="H23" s="156"/>
      <c r="I23" s="157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98.94</v>
      </c>
      <c r="F29" s="31"/>
      <c r="G29" s="32"/>
      <c r="H29" s="31"/>
      <c r="J29" s="33" t="s">
        <v>15</v>
      </c>
      <c r="K29" s="34">
        <f>LOOKUP("LBKF",B29:E51)</f>
        <v>98.91</v>
      </c>
      <c r="L29" s="35"/>
    </row>
    <row r="30" spans="2:12" ht="16.5" customHeight="1" x14ac:dyDescent="0.25">
      <c r="B30" s="119"/>
      <c r="C30" s="120">
        <v>6.3800000000000008</v>
      </c>
      <c r="D30" s="121"/>
      <c r="E30" s="30">
        <v>99.1</v>
      </c>
      <c r="F30" s="31">
        <f t="shared" ref="F30:F37" si="2">IF(E30&gt;0,IF(E30&lt;K$29,K$29-E30,0),0)</f>
        <v>0</v>
      </c>
      <c r="G30" s="32">
        <f t="shared" ref="G30:G37" si="3">IF(E30&gt;0,IF(E30&lt;=K$29,C30-C29,0),0)</f>
        <v>0</v>
      </c>
      <c r="H30" s="31">
        <f t="shared" ref="H30:H37" si="4">IF(E30&lt;=K$29,G30*(F29+F30)/2,0)</f>
        <v>0</v>
      </c>
      <c r="J30" s="37" t="s">
        <v>71</v>
      </c>
      <c r="K30" s="11">
        <f>SUM(H29:H51)</f>
        <v>72.185299999999927</v>
      </c>
      <c r="L30" s="35"/>
    </row>
    <row r="31" spans="2:12" ht="16.5" customHeight="1" x14ac:dyDescent="0.25">
      <c r="B31" s="119" t="s">
        <v>2</v>
      </c>
      <c r="C31" s="120">
        <v>6.64</v>
      </c>
      <c r="D31" s="121"/>
      <c r="E31" s="30">
        <v>98.91</v>
      </c>
      <c r="F31" s="31">
        <f t="shared" si="2"/>
        <v>0</v>
      </c>
      <c r="G31" s="32">
        <f t="shared" si="3"/>
        <v>0.2599999999999989</v>
      </c>
      <c r="H31" s="31">
        <f t="shared" si="4"/>
        <v>0</v>
      </c>
      <c r="J31" s="37" t="s">
        <v>72</v>
      </c>
      <c r="K31" s="11">
        <f>LOOKUP("RBKF",B29:C51)-LOOKUP("LBKF",B29:C51)</f>
        <v>29.03</v>
      </c>
      <c r="L31" s="35"/>
    </row>
    <row r="32" spans="2:12" ht="16.5" customHeight="1" x14ac:dyDescent="0.25">
      <c r="B32" s="119"/>
      <c r="C32" s="120">
        <v>6.99</v>
      </c>
      <c r="D32" s="121"/>
      <c r="E32" s="30">
        <v>98.67</v>
      </c>
      <c r="F32" s="31">
        <f t="shared" si="2"/>
        <v>0.23999999999999488</v>
      </c>
      <c r="G32" s="32">
        <f t="shared" si="3"/>
        <v>0.35000000000000053</v>
      </c>
      <c r="H32" s="31">
        <f t="shared" si="4"/>
        <v>4.199999999999917E-2</v>
      </c>
      <c r="J32" s="37" t="s">
        <v>73</v>
      </c>
      <c r="K32" s="11">
        <f>K30/K31</f>
        <v>2.486575955907679</v>
      </c>
      <c r="L32" s="35"/>
    </row>
    <row r="33" spans="2:13" ht="16.5" customHeight="1" x14ac:dyDescent="0.25">
      <c r="B33" s="119"/>
      <c r="C33" s="120">
        <v>8.1400000000000023</v>
      </c>
      <c r="D33" s="121"/>
      <c r="E33" s="30">
        <v>96.06</v>
      </c>
      <c r="F33" s="31">
        <f t="shared" si="2"/>
        <v>2.8499999999999943</v>
      </c>
      <c r="G33" s="32">
        <f t="shared" si="3"/>
        <v>1.1500000000000021</v>
      </c>
      <c r="H33" s="31">
        <f t="shared" si="4"/>
        <v>1.7767499999999972</v>
      </c>
      <c r="J33" s="37" t="s">
        <v>74</v>
      </c>
      <c r="K33" s="38">
        <f>K31/K32</f>
        <v>11.674688613886774</v>
      </c>
      <c r="L33" s="35"/>
    </row>
    <row r="34" spans="2:13" ht="16.5" customHeight="1" x14ac:dyDescent="0.25">
      <c r="B34" s="119"/>
      <c r="C34" s="120">
        <v>9.4800000000000022</v>
      </c>
      <c r="D34" s="121"/>
      <c r="E34" s="30">
        <v>95.56</v>
      </c>
      <c r="F34" s="31">
        <f t="shared" si="2"/>
        <v>3.3499999999999943</v>
      </c>
      <c r="G34" s="32">
        <f t="shared" si="3"/>
        <v>1.3399999999999999</v>
      </c>
      <c r="H34" s="31">
        <f t="shared" si="4"/>
        <v>4.1539999999999919</v>
      </c>
      <c r="J34" s="37" t="s">
        <v>75</v>
      </c>
      <c r="K34" s="11">
        <f>MAX(F29:F51)</f>
        <v>3.3499999999999943</v>
      </c>
      <c r="L34" s="35"/>
    </row>
    <row r="35" spans="2:13" ht="16.5" customHeight="1" x14ac:dyDescent="0.25">
      <c r="B35" s="119"/>
      <c r="C35" s="120">
        <v>21.120000000000005</v>
      </c>
      <c r="D35" s="121"/>
      <c r="E35" s="30">
        <v>95.57</v>
      </c>
      <c r="F35" s="31">
        <f t="shared" si="2"/>
        <v>3.3400000000000034</v>
      </c>
      <c r="G35" s="32">
        <f t="shared" si="3"/>
        <v>11.640000000000002</v>
      </c>
      <c r="H35" s="31">
        <f t="shared" si="4"/>
        <v>38.935799999999993</v>
      </c>
      <c r="J35" s="37" t="s">
        <v>76</v>
      </c>
      <c r="K35" s="39">
        <f>K34/K32</f>
        <v>1.3472341321571004</v>
      </c>
      <c r="L35" s="35"/>
    </row>
    <row r="36" spans="2:13" ht="16.5" customHeight="1" x14ac:dyDescent="0.25">
      <c r="B36" s="119"/>
      <c r="C36" s="120">
        <v>29.67</v>
      </c>
      <c r="D36" s="121"/>
      <c r="E36" s="30">
        <v>96.84</v>
      </c>
      <c r="F36" s="31">
        <f t="shared" si="2"/>
        <v>2.0699999999999932</v>
      </c>
      <c r="G36" s="32">
        <f t="shared" si="3"/>
        <v>8.5499999999999972</v>
      </c>
      <c r="H36" s="31">
        <f t="shared" si="4"/>
        <v>23.127749999999978</v>
      </c>
      <c r="J36" s="40" t="s">
        <v>25</v>
      </c>
      <c r="K36" s="41">
        <v>3.34</v>
      </c>
      <c r="L36" s="35"/>
    </row>
    <row r="37" spans="2:13" ht="16.5" customHeight="1" x14ac:dyDescent="0.25">
      <c r="B37" s="119"/>
      <c r="C37" s="120">
        <v>33.07</v>
      </c>
      <c r="D37" s="121"/>
      <c r="E37" s="30">
        <v>98.7</v>
      </c>
      <c r="F37" s="31">
        <f t="shared" si="2"/>
        <v>0.20999999999999375</v>
      </c>
      <c r="G37" s="32">
        <f t="shared" si="3"/>
        <v>3.3999999999999986</v>
      </c>
      <c r="H37" s="31">
        <f t="shared" si="4"/>
        <v>3.8759999999999764</v>
      </c>
      <c r="J37" s="40" t="s">
        <v>77</v>
      </c>
      <c r="K37" s="42">
        <f>+K36/K34</f>
        <v>0.99701492537313596</v>
      </c>
      <c r="L37" s="35"/>
    </row>
    <row r="38" spans="2:13" ht="16.5" customHeight="1" x14ac:dyDescent="0.25">
      <c r="B38" s="119" t="s">
        <v>3</v>
      </c>
      <c r="C38" s="120">
        <v>35.67</v>
      </c>
      <c r="D38" s="121"/>
      <c r="E38" s="30">
        <v>98.91</v>
      </c>
      <c r="F38" s="31">
        <f t="shared" ref="F38" si="5">IF(E38&gt;0,IF(E38&lt;K$29,K$29-E38,0),0)</f>
        <v>0</v>
      </c>
      <c r="G38" s="32">
        <f t="shared" ref="G38" si="6">IF(E38&gt;0,IF(E38&lt;=K$29,C38-C37,0),0)</f>
        <v>2.6000000000000014</v>
      </c>
      <c r="H38" s="31">
        <f t="shared" ref="H38" si="7">IF(E38&lt;=K$29,G38*(F37+F38)/2,0)</f>
        <v>0.27299999999999203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46.38</v>
      </c>
      <c r="D39" s="121"/>
      <c r="E39" s="30">
        <v>98.77</v>
      </c>
      <c r="F39" s="31"/>
      <c r="G39" s="32"/>
      <c r="H39" s="31"/>
      <c r="J39" s="37" t="s">
        <v>79</v>
      </c>
      <c r="K39" s="11" t="s">
        <v>109</v>
      </c>
      <c r="L39" s="35"/>
    </row>
    <row r="40" spans="2:13" ht="16.5" customHeight="1" x14ac:dyDescent="0.25">
      <c r="B40" s="119"/>
      <c r="C40" s="120">
        <v>86.3</v>
      </c>
      <c r="D40" s="121"/>
      <c r="E40" s="30">
        <v>100.32</v>
      </c>
      <c r="F40" s="31"/>
      <c r="G40" s="32"/>
      <c r="H40" s="31"/>
      <c r="J40" s="37" t="s">
        <v>8</v>
      </c>
      <c r="K40" s="108">
        <f>+'Longitudinal Profile'!$H$9</f>
        <v>3.9900249376558606E-4</v>
      </c>
      <c r="L40" s="45"/>
    </row>
    <row r="41" spans="2:13" ht="16.5" customHeight="1" x14ac:dyDescent="0.25">
      <c r="B41" s="119"/>
      <c r="C41" s="120"/>
      <c r="D41" s="121"/>
      <c r="E41" s="30"/>
      <c r="F41" s="31"/>
      <c r="G41" s="32"/>
      <c r="H41" s="31"/>
      <c r="J41" s="37" t="s">
        <v>10</v>
      </c>
      <c r="K41" s="46">
        <v>4.4999999999999998E-2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34.003151911815358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2.1229002589879644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78.880991694332593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1.0927569975373472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5.2855451834752709E-2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5.7758164850424239E-2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4.2940071403737594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12.969598887797124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182.27272727272725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200.5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0.08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3.9900249376558606E-4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4.3890274314214468E-4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1.1000000000000001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