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G7" i="81" s="1"/>
  <c r="C15" i="73" s="1"/>
  <c r="K40" i="81"/>
  <c r="G12" i="81"/>
  <c r="G14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 s="1"/>
  <c r="C38" i="73" s="1"/>
  <c r="J9" i="84"/>
  <c r="E37" i="73"/>
  <c r="E38" i="73" s="1"/>
  <c r="J8" i="84"/>
  <c r="E35" i="73" s="1"/>
  <c r="E36" i="73" s="1"/>
  <c r="I8" i="84"/>
  <c r="D35" i="73"/>
  <c r="H8" i="84"/>
  <c r="C35" i="73" s="1"/>
  <c r="C36" i="73" s="1"/>
  <c r="J7" i="84"/>
  <c r="E33" i="73" s="1"/>
  <c r="E34" i="73" s="1"/>
  <c r="I7" i="84"/>
  <c r="D33" i="73" s="1"/>
  <c r="D34" i="73" s="1"/>
  <c r="H7" i="84"/>
  <c r="C33" i="73" s="1"/>
  <c r="C34" i="73" s="1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E42" i="73" s="1"/>
  <c r="D23" i="73"/>
  <c r="E23" i="73"/>
  <c r="C46" i="73"/>
  <c r="C42" i="73"/>
  <c r="E46" i="73"/>
  <c r="D42" i="73"/>
  <c r="D46" i="73"/>
  <c r="E44" i="73"/>
  <c r="D44" i="73"/>
  <c r="E18" i="73"/>
  <c r="D18" i="73"/>
  <c r="D48" i="73"/>
  <c r="C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F30" i="81" l="1"/>
  <c r="G31" i="81"/>
  <c r="G34" i="81"/>
  <c r="F36" i="81"/>
  <c r="F38" i="81"/>
  <c r="G36" i="81"/>
  <c r="F40" i="81"/>
  <c r="G39" i="81"/>
  <c r="H39" i="81" s="1"/>
  <c r="G30" i="81"/>
  <c r="H31" i="81"/>
  <c r="F33" i="81"/>
  <c r="F35" i="81"/>
  <c r="G38" i="81"/>
  <c r="H30" i="81"/>
  <c r="F32" i="81"/>
  <c r="G33" i="81"/>
  <c r="H33" i="81" s="1"/>
  <c r="G35" i="81"/>
  <c r="F37" i="81"/>
  <c r="F39" i="81"/>
  <c r="G40" i="81"/>
  <c r="G32" i="81"/>
  <c r="G37" i="81"/>
  <c r="F31" i="81"/>
  <c r="F34" i="81"/>
  <c r="H40" i="81"/>
  <c r="D36" i="73"/>
  <c r="C44" i="73"/>
  <c r="D38" i="73"/>
  <c r="G15" i="81"/>
  <c r="C23" i="73" s="1"/>
  <c r="F41" i="81"/>
  <c r="G41" i="81"/>
  <c r="H41" i="81"/>
  <c r="H34" i="81" l="1"/>
  <c r="H37" i="81"/>
  <c r="H36" i="81"/>
  <c r="H32" i="81"/>
  <c r="K30" i="81" s="1"/>
  <c r="H35" i="81"/>
  <c r="H38" i="81"/>
  <c r="K34" i="81"/>
  <c r="G10" i="81" l="1"/>
  <c r="C18" i="73" s="1"/>
  <c r="K37" i="81"/>
  <c r="G13" i="81" s="1"/>
  <c r="C21" i="73" s="1"/>
  <c r="G6" i="81"/>
  <c r="C14" i="73" s="1"/>
  <c r="K32" i="81"/>
  <c r="G8" i="81" l="1"/>
  <c r="C16" i="73" s="1"/>
  <c r="K42" i="81"/>
  <c r="K43" i="81" s="1"/>
  <c r="K33" i="81"/>
  <c r="G9" i="81" s="1"/>
  <c r="C17" i="73" s="1"/>
  <c r="K35" i="81"/>
  <c r="G11" i="81" s="1"/>
  <c r="C19" i="73" s="1"/>
  <c r="K46" i="81" l="1"/>
  <c r="K44" i="81"/>
  <c r="G18" i="81" l="1"/>
  <c r="C25" i="73" s="1"/>
  <c r="K45" i="81"/>
  <c r="G19" i="81" s="1"/>
  <c r="C26" i="73" s="1"/>
  <c r="K48" i="81"/>
  <c r="G22" i="81" s="1"/>
  <c r="C29" i="73" s="1"/>
  <c r="K49" i="81"/>
  <c r="G23" i="81" s="1"/>
  <c r="C30" i="73" s="1"/>
  <c r="G20" i="81"/>
  <c r="C27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<sst xmlns="http://schemas.openxmlformats.org/spreadsheetml/2006/main" count="172" uniqueCount="111">
  <si>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</si>
  <si>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</si>
  <si>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</si>
  <si>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</si>
  <si>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</si>
  <si>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</si>
  <si>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</si>
  <si>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</si>
  <si>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</si>
  <si>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</si>
  <si>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</si>
  <si>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</si>
  <si>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</si>
  <si>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</si>
  <si>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</si>
  <si>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</si>
  <si>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</si>
  <si>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</si>
  <si>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</si>
  <si>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</si>
  <si>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</si>
  <si>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</si>
  <si>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</si>
  <si>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</si>
  <si>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</si>
  <si>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</si>
  <si>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</si>
  <si>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</si>
  <si>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</si>
  <si>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</si>
  <si>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</si>
  <si>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</si>
  <si>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</si>
  <si>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</si>
  <si>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</si>
  <si>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</si>
  <si>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</si>
  <si>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</si>
  <si>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</si>
  <si>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</si>
  <si>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</si>
  <si>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</si>
  <si>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</si>
  <si>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</si>
  <si>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</si>
  <si>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</si>
  <si>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</si>
  <si>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</si>
  <si>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</si>
  <si>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</si>
  <si>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</si>
  <si>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</si>
  <si>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</si>
  <si>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</si>
  <si>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</si>
  <si>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</si>
  <si>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</si>
  <si>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</si>
  <si>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</si>
  <si>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</si>
  <si>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</si>
  <si>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</si>
  <si>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</si>
  <si>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</si>
  <si>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</si>
  <si>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</si>
  <si>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</si>
  <si>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</si>
  <si>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</si>
  <si>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</si>
  <si>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</si>
  <si>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</si>
  <si>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</si>
  <si>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</si>
  <si>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</si>
  <si>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</si>
  <si>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</si>
  <si>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</si>
  <si>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</si>
  <si>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</si>
  <si>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</si>
  <si>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</si>
  <si>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</si>
  <si>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</si>
  <si>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</si>
  <si>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</si>
  <si>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</si>
  <si>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</si>
  <si>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</si>
  <si>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</si>
  <si>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</si>
  <si>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</si>
  <si>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</si>
  <si>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</si>
  <si>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</si>
  <si>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</si>
  <si>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</si>
  <si>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</si>
  <si>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</si>
  <si>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</si>
  <si>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</si>
  <si>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</si>
  <si>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</si>
  <si>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</si>
  <si>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Nicholson Creek, Francis Marion NF</t>
  </si>
  <si>
    <t>33.160604, -79.813020</t>
  </si>
  <si>
    <t>UT Nicholson Creek</t>
  </si>
  <si>
    <t>sand</t>
  </si>
  <si>
    <t>&gt;58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</si>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</sst>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23.659999999999997</c:v>
                </c:pt>
                <c:pt idx="2">
                  <c:v>25.85</c:v>
                </c:pt>
                <c:pt idx="3">
                  <c:v>27.200000000000003</c:v>
                </c:pt>
                <c:pt idx="4">
                  <c:v>27.3</c:v>
                </c:pt>
                <c:pt idx="5">
                  <c:v>28.020000000000003</c:v>
                </c:pt>
                <c:pt idx="6">
                  <c:v>29.800000000000004</c:v>
                </c:pt>
                <c:pt idx="7">
                  <c:v>31.840000000000003</c:v>
                </c:pt>
                <c:pt idx="8">
                  <c:v>32.450000000000003</c:v>
                </c:pt>
                <c:pt idx="9">
                  <c:v>33.03</c:v>
                </c:pt>
                <c:pt idx="10">
                  <c:v>36.940000000000005</c:v>
                </c:pt>
                <c:pt idx="11">
                  <c:v>43.800000000000004</c:v>
                </c:pt>
                <c:pt idx="12">
                  <c:v>50.84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99.06</c:v>
                </c:pt>
                <c:pt idx="1">
                  <c:v>99.13</c:v>
                </c:pt>
                <c:pt idx="2">
                  <c:v>99.1</c:v>
                </c:pt>
                <c:pt idx="3">
                  <c:v>98.71</c:v>
                </c:pt>
                <c:pt idx="4">
                  <c:v>98.61</c:v>
                </c:pt>
                <c:pt idx="5">
                  <c:v>98.15</c:v>
                </c:pt>
                <c:pt idx="6">
                  <c:v>97.75</c:v>
                </c:pt>
                <c:pt idx="7">
                  <c:v>98.07</c:v>
                </c:pt>
                <c:pt idx="8">
                  <c:v>98.33</c:v>
                </c:pt>
                <c:pt idx="9">
                  <c:v>98.61</c:v>
                </c:pt>
                <c:pt idx="10">
                  <c:v>98.64</c:v>
                </c:pt>
                <c:pt idx="11">
                  <c:v>98.85</c:v>
                </c:pt>
                <c:pt idx="12">
                  <c:v>99.4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9727120"/>
        <c:axId val="341326776"/>
      </c:scatterChart>
      <c:valAx>
        <c:axId val="33972712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41326776"/>
        <c:crosses val="autoZero"/>
        <c:crossBetween val="midCat"/>
      </c:valAx>
      <c:valAx>
        <c:axId val="3413267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972712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1325992"/>
        <c:axId val="34133030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4132599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41330304"/>
        <c:crosses val="autoZero"/>
        <c:crossBetween val="midCat"/>
        <c:minorUnit val="25"/>
      </c:valAx>
      <c:valAx>
        <c:axId val="34133030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4132599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8" sqref="B8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0.35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2.6341463414634148E-3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1.06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205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4.0100499999999428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5.8299999999999983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0.68783018867923573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8.4759292278152305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0.95999999999999375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1.3956933205321733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0.96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1.0000000000000064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&gt;58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4.1487617221002937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1.0345910205858662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9.1474593328606246E-2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9.4638792869519803E-2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7.4314482854833548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22.445911305526472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73</v>
      </c>
      <c r="D33" s="13">
        <f>'Planform Geometry'!I7</f>
        <v>79</v>
      </c>
      <c r="E33" s="13">
        <f>'Planform Geometry'!J7</f>
        <v>85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27</v>
      </c>
      <c r="D35" s="13">
        <f>+'Planform Geometry'!I8</f>
        <v>32.5</v>
      </c>
      <c r="E35" s="13">
        <f>+'Planform Geometry'!J8</f>
        <v>38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36</v>
      </c>
      <c r="D37" s="13">
        <f>+'Planform Geometry'!I9</f>
        <v>47.5</v>
      </c>
      <c r="E37" s="13">
        <f>+'Planform Geometry'!J9</f>
        <v>59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4.0100499999999428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5.8299999999999983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0.68783018867923573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8.4759292278152305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0.95999999999999375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1.3956933205321733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0.96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1.0000000000000064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&gt;58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4.1487617221002937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1.0345910205858662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9.1474593328606246E-2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9.4638792869519803E-2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7.4314482854833548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22.445911305526472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99.06</v>
      </c>
      <c r="F29" s="31"/>
      <c r="G29" s="32"/>
      <c r="H29" s="31"/>
      <c r="J29" s="33" t="s">
        <v>15</v>
      </c>
      <c r="K29" s="34">
        <f>LOOKUP("LBKF",B29:E51)</f>
        <v>98.71</v>
      </c>
      <c r="L29" s="35"/>
    </row>
    <row r="30" spans="2:12" ht="16.5" customHeight="1" x14ac:dyDescent="0.25">
      <c r="B30" s="119"/>
      <c r="C30" s="120">
        <v>23.659999999999997</v>
      </c>
      <c r="D30" s="121"/>
      <c r="E30" s="30">
        <v>99.13</v>
      </c>
      <c r="F30" s="31">
        <f t="shared" ref="F30:F40" si="2">IF(E30&gt;0,IF(E30&lt;K$29,K$29-E30,0),0)</f>
        <v>0</v>
      </c>
      <c r="G30" s="32">
        <f t="shared" ref="G30:G40" si="3">IF(E30&gt;0,IF(E30&lt;=K$29,C30-C29,0),0)</f>
        <v>0</v>
      </c>
      <c r="H30" s="31">
        <f t="shared" ref="H30:H40" si="4">IF(E30&lt;=K$29,G30*(F29+F30)/2,0)</f>
        <v>0</v>
      </c>
      <c r="J30" s="37" t="s">
        <v>71</v>
      </c>
      <c r="K30" s="11">
        <f>SUM(H29:H51)</f>
        <v>4.0100499999999428</v>
      </c>
      <c r="L30" s="35"/>
    </row>
    <row r="31" spans="2:12" ht="16.5" customHeight="1" x14ac:dyDescent="0.25">
      <c r="B31" s="119"/>
      <c r="C31" s="120">
        <v>25.85</v>
      </c>
      <c r="D31" s="121"/>
      <c r="E31" s="30">
        <v>99.1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5.8299999999999983</v>
      </c>
      <c r="L31" s="35"/>
    </row>
    <row r="32" spans="2:12" ht="16.5" customHeight="1" x14ac:dyDescent="0.25">
      <c r="B32" s="119" t="s">
        <v>2</v>
      </c>
      <c r="C32" s="120">
        <v>27.200000000000003</v>
      </c>
      <c r="D32" s="121"/>
      <c r="E32" s="30">
        <v>98.71</v>
      </c>
      <c r="F32" s="31">
        <f t="shared" si="2"/>
        <v>0</v>
      </c>
      <c r="G32" s="32">
        <f t="shared" si="3"/>
        <v>1.3500000000000014</v>
      </c>
      <c r="H32" s="31">
        <f t="shared" si="4"/>
        <v>0</v>
      </c>
      <c r="J32" s="37" t="s">
        <v>73</v>
      </c>
      <c r="K32" s="11">
        <f>K30/K31</f>
        <v>0.68783018867923573</v>
      </c>
      <c r="L32" s="35"/>
    </row>
    <row r="33" spans="2:13" ht="16.5" customHeight="1" x14ac:dyDescent="0.25">
      <c r="B33" s="119"/>
      <c r="C33" s="120">
        <v>27.3</v>
      </c>
      <c r="D33" s="121"/>
      <c r="E33" s="30">
        <v>98.61</v>
      </c>
      <c r="F33" s="31">
        <f t="shared" si="2"/>
        <v>9.9999999999994316E-2</v>
      </c>
      <c r="G33" s="32">
        <f t="shared" si="3"/>
        <v>9.9999999999997868E-2</v>
      </c>
      <c r="H33" s="31">
        <f t="shared" si="4"/>
        <v>4.9999999999996089E-3</v>
      </c>
      <c r="J33" s="37" t="s">
        <v>74</v>
      </c>
      <c r="K33" s="38">
        <f>K31/K32</f>
        <v>8.4759292278152305</v>
      </c>
      <c r="L33" s="35"/>
    </row>
    <row r="34" spans="2:13" ht="16.5" customHeight="1" x14ac:dyDescent="0.25">
      <c r="B34" s="119"/>
      <c r="C34" s="120">
        <v>28.020000000000003</v>
      </c>
      <c r="D34" s="121"/>
      <c r="E34" s="30">
        <v>98.15</v>
      </c>
      <c r="F34" s="31">
        <f t="shared" si="2"/>
        <v>0.55999999999998806</v>
      </c>
      <c r="G34" s="32">
        <f t="shared" si="3"/>
        <v>0.72000000000000242</v>
      </c>
      <c r="H34" s="31">
        <f t="shared" si="4"/>
        <v>0.23759999999999445</v>
      </c>
      <c r="J34" s="37" t="s">
        <v>75</v>
      </c>
      <c r="K34" s="11">
        <f>MAX(F29:F51)</f>
        <v>0.95999999999999375</v>
      </c>
      <c r="L34" s="35"/>
    </row>
    <row r="35" spans="2:13" ht="16.5" customHeight="1" x14ac:dyDescent="0.25">
      <c r="B35" s="119"/>
      <c r="C35" s="120">
        <v>29.800000000000004</v>
      </c>
      <c r="D35" s="121"/>
      <c r="E35" s="30">
        <v>97.75</v>
      </c>
      <c r="F35" s="31">
        <f t="shared" si="2"/>
        <v>0.95999999999999375</v>
      </c>
      <c r="G35" s="32">
        <f t="shared" si="3"/>
        <v>1.7800000000000011</v>
      </c>
      <c r="H35" s="31">
        <f t="shared" si="4"/>
        <v>1.3527999999999847</v>
      </c>
      <c r="J35" s="37" t="s">
        <v>76</v>
      </c>
      <c r="K35" s="39">
        <f>K34/K32</f>
        <v>1.3956933205321733</v>
      </c>
      <c r="L35" s="35"/>
    </row>
    <row r="36" spans="2:13" ht="16.5" customHeight="1" x14ac:dyDescent="0.25">
      <c r="B36" s="119"/>
      <c r="C36" s="120">
        <v>31.840000000000003</v>
      </c>
      <c r="D36" s="121"/>
      <c r="E36" s="30">
        <v>98.07</v>
      </c>
      <c r="F36" s="31">
        <f t="shared" si="2"/>
        <v>0.64000000000000057</v>
      </c>
      <c r="G36" s="32">
        <f t="shared" si="3"/>
        <v>2.0399999999999991</v>
      </c>
      <c r="H36" s="31">
        <f t="shared" si="4"/>
        <v>1.6319999999999935</v>
      </c>
      <c r="J36" s="40" t="s">
        <v>25</v>
      </c>
      <c r="K36" s="41">
        <v>0.96</v>
      </c>
      <c r="L36" s="35"/>
    </row>
    <row r="37" spans="2:13" ht="16.5" customHeight="1" x14ac:dyDescent="0.25">
      <c r="B37" s="119"/>
      <c r="C37" s="120">
        <v>32.450000000000003</v>
      </c>
      <c r="D37" s="121"/>
      <c r="E37" s="30">
        <v>98.33</v>
      </c>
      <c r="F37" s="31">
        <f t="shared" si="2"/>
        <v>0.37999999999999545</v>
      </c>
      <c r="G37" s="32">
        <f t="shared" si="3"/>
        <v>0.60999999999999943</v>
      </c>
      <c r="H37" s="31">
        <f t="shared" si="4"/>
        <v>0.31109999999999849</v>
      </c>
      <c r="J37" s="40" t="s">
        <v>77</v>
      </c>
      <c r="K37" s="42">
        <f>+K36/K34</f>
        <v>1.0000000000000064</v>
      </c>
      <c r="L37" s="35"/>
    </row>
    <row r="38" spans="2:13" ht="16.5" customHeight="1" x14ac:dyDescent="0.25">
      <c r="B38" s="119" t="s">
        <v>3</v>
      </c>
      <c r="C38" s="120">
        <v>33.03</v>
      </c>
      <c r="D38" s="121"/>
      <c r="E38" s="30">
        <v>98.61</v>
      </c>
      <c r="F38" s="31">
        <f t="shared" si="2"/>
        <v>9.9999999999994316E-2</v>
      </c>
      <c r="G38" s="32">
        <f t="shared" si="3"/>
        <v>0.57999999999999829</v>
      </c>
      <c r="H38" s="31">
        <f t="shared" si="4"/>
        <v>0.13919999999999663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36.940000000000005</v>
      </c>
      <c r="D39" s="121"/>
      <c r="E39" s="30">
        <v>98.64</v>
      </c>
      <c r="F39" s="31">
        <f t="shared" si="2"/>
        <v>6.9999999999993179E-2</v>
      </c>
      <c r="G39" s="32">
        <f t="shared" si="3"/>
        <v>3.9100000000000037</v>
      </c>
      <c r="H39" s="31">
        <f t="shared" si="4"/>
        <v>0.33234999999997589</v>
      </c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>
        <v>43.800000000000004</v>
      </c>
      <c r="D40" s="121"/>
      <c r="E40" s="30">
        <v>98.85</v>
      </c>
      <c r="F40" s="31">
        <f t="shared" si="2"/>
        <v>0</v>
      </c>
      <c r="G40" s="32">
        <f t="shared" si="3"/>
        <v>0</v>
      </c>
      <c r="H40" s="31">
        <f t="shared" si="4"/>
        <v>0</v>
      </c>
      <c r="J40" s="37" t="s">
        <v>8</v>
      </c>
      <c r="K40" s="108">
        <f>+'Longitudinal Profile'!$H$9</f>
        <v>2.6341463414634148E-3</v>
      </c>
      <c r="L40" s="45"/>
    </row>
    <row r="41" spans="2:13" ht="16.5" customHeight="1" x14ac:dyDescent="0.25">
      <c r="B41" s="119"/>
      <c r="C41" s="120">
        <v>50.84</v>
      </c>
      <c r="D41" s="121"/>
      <c r="E41" s="30">
        <v>99.4</v>
      </c>
      <c r="F41" s="31">
        <f t="shared" ref="F41" si="5">IF(E41&gt;0,IF(E41&lt;K$29,K$29-E41,0),0)</f>
        <v>0</v>
      </c>
      <c r="G41" s="32">
        <f t="shared" ref="G41" si="6">IF(E41&gt;0,IF(E41&lt;=K$29,C41-C40,0),0)</f>
        <v>0</v>
      </c>
      <c r="H41" s="31">
        <f t="shared" ref="H41" si="7">IF(E41&lt;=K$29,G41*(F40+F41)/2,0)</f>
        <v>0</v>
      </c>
      <c r="J41" s="37" t="s">
        <v>10</v>
      </c>
      <c r="K41" s="46">
        <v>0.05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7.2056603773584698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0.55651387797852203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4.1487617221002937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1.0345910205858662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9.1474593328606246E-2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9.4638792869519803E-2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7.4314482854833548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22.445911305526472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193.39622641509433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205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0.54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2.6341463414634148E-3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2.7921951219512199E-3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1.06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D10" sqref="D10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85</v>
      </c>
      <c r="D7" s="102">
        <v>73</v>
      </c>
      <c r="E7" s="102"/>
      <c r="F7" s="102"/>
      <c r="G7" s="102"/>
      <c r="H7" s="13">
        <f>MIN(C7:G7)</f>
        <v>73</v>
      </c>
      <c r="I7" s="13">
        <f>MEDIAN(C7:G7)</f>
        <v>79</v>
      </c>
      <c r="J7" s="13">
        <f>MAX(C7:G7)</f>
        <v>85</v>
      </c>
    </row>
    <row r="8" spans="2:10" ht="16.5" customHeight="1" x14ac:dyDescent="0.25">
      <c r="B8" s="40" t="s">
        <v>26</v>
      </c>
      <c r="C8" s="102">
        <v>27</v>
      </c>
      <c r="D8" s="102">
        <v>38</v>
      </c>
      <c r="E8" s="102"/>
      <c r="F8" s="102"/>
      <c r="G8" s="102"/>
      <c r="H8" s="13">
        <f>MIN(C8:G8)</f>
        <v>27</v>
      </c>
      <c r="I8" s="13">
        <f>MEDIAN(C8:G8)</f>
        <v>32.5</v>
      </c>
      <c r="J8" s="13">
        <f>MAX(C8:G8)</f>
        <v>38</v>
      </c>
    </row>
    <row r="9" spans="2:10" ht="16.5" customHeight="1" x14ac:dyDescent="0.25">
      <c r="B9" s="40" t="s">
        <v>88</v>
      </c>
      <c r="C9" s="102">
        <v>36</v>
      </c>
      <c r="D9" s="102">
        <v>59</v>
      </c>
      <c r="E9" s="102"/>
      <c r="F9" s="102"/>
      <c r="G9" s="102"/>
      <c r="H9" s="13">
        <f>MIN(C9:G9)</f>
        <v>36</v>
      </c>
      <c r="I9" s="13">
        <f>MEDIAN(C9:G9)</f>
        <v>47.5</v>
      </c>
      <c r="J9" s="13">
        <f>MAX(C9:G9)</f>
        <v>59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