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3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K29" i="81" l="1"/>
  <c r="K31" i="81"/>
  <c r="G15" i="81" s="1"/>
  <c r="C23" i="73" s="1"/>
  <c r="K40" i="81"/>
  <c r="G12" i="81"/>
  <c r="G14" i="81"/>
  <c r="C22" i="73" s="1"/>
  <c r="L30" i="70"/>
  <c r="L23" i="70"/>
  <c r="M30" i="70"/>
  <c r="N30" i="70"/>
  <c r="U8" i="70"/>
  <c r="D41" i="73"/>
  <c r="C20" i="73"/>
  <c r="D20" i="73"/>
  <c r="E20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C42" i="73" s="1"/>
  <c r="D23" i="73"/>
  <c r="E23" i="73"/>
  <c r="D34" i="73"/>
  <c r="E38" i="73"/>
  <c r="C38" i="73"/>
  <c r="D46" i="73"/>
  <c r="D44" i="73"/>
  <c r="E18" i="73"/>
  <c r="D1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48" i="73" l="1"/>
  <c r="D48" i="73"/>
  <c r="F30" i="81"/>
  <c r="H31" i="81"/>
  <c r="F33" i="81"/>
  <c r="G36" i="81"/>
  <c r="G38" i="81"/>
  <c r="G30" i="81"/>
  <c r="H30" i="81" s="1"/>
  <c r="F32" i="81"/>
  <c r="G33" i="81"/>
  <c r="F35" i="81"/>
  <c r="F37" i="81"/>
  <c r="H38" i="81"/>
  <c r="F31" i="81"/>
  <c r="G32" i="81"/>
  <c r="F34" i="81"/>
  <c r="G35" i="81"/>
  <c r="G37" i="81"/>
  <c r="G31" i="81"/>
  <c r="G34" i="81"/>
  <c r="F36" i="81"/>
  <c r="F38" i="81"/>
  <c r="D36" i="73"/>
  <c r="D38" i="73"/>
  <c r="E42" i="73"/>
  <c r="E34" i="73"/>
  <c r="E46" i="73"/>
  <c r="E36" i="73"/>
  <c r="C46" i="73"/>
  <c r="C36" i="73"/>
  <c r="C44" i="73"/>
  <c r="E44" i="73"/>
  <c r="D42" i="73"/>
  <c r="C34" i="73"/>
  <c r="H39" i="81"/>
  <c r="G39" i="81"/>
  <c r="F39" i="81"/>
  <c r="G7" i="81"/>
  <c r="C15" i="73" s="1"/>
  <c r="H35" i="81" l="1"/>
  <c r="H34" i="81"/>
  <c r="H32" i="81"/>
  <c r="H37" i="81"/>
  <c r="H33" i="81"/>
  <c r="H36" i="81"/>
  <c r="K34" i="81"/>
  <c r="G10" i="81" s="1"/>
  <c r="C18" i="73" s="1"/>
  <c r="K30" i="81" l="1"/>
  <c r="G6" i="81" s="1"/>
  <c r="C14" i="73" s="1"/>
  <c r="K37" i="81"/>
  <c r="G13" i="81" s="1"/>
  <c r="C21" i="73" s="1"/>
  <c r="K32" i="81" l="1"/>
  <c r="G8" i="81" s="1"/>
  <c r="C16" i="73" s="1"/>
  <c r="K33" i="81" l="1"/>
  <c r="G9" i="81" s="1"/>
  <c r="C17" i="73" s="1"/>
  <c r="K35" i="81"/>
  <c r="G11" i="81" s="1"/>
  <c r="C19" i="73" s="1"/>
  <c r="K42" i="81"/>
  <c r="K43" i="81" s="1"/>
  <c r="K46" i="81" s="1"/>
  <c r="G20" i="81" s="1"/>
  <c r="C27" i="73" s="1"/>
  <c r="K44" i="81"/>
  <c r="K45" i="81" s="1"/>
  <c r="G19" i="81" s="1"/>
  <c r="C26" i="73" s="1"/>
  <c r="K49" i="81" l="1"/>
  <c r="G23" i="81" s="1"/>
  <c r="C30" i="73" s="1"/>
  <c r="K48" i="81"/>
  <c r="G22" i="81" s="1"/>
  <c r="C29" i="73" s="1"/>
  <c r="G18" i="81"/>
  <c r="C25" i="73" s="1"/>
  <c r="K47" i="81"/>
  <c r="G21" i="81" s="1"/>
  <c r="C28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<sst xmlns="http://schemas.openxmlformats.org/spreadsheetml/2006/main" count="172" uniqueCount="111">
  <si>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</si>
  <si>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</si>
  <si>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</si>
  <si>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</si>
  <si>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</si>
  <si>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</si>
  <si>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</si>
  <si>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</si>
  <si>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</si>
  <si>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</si>
  <si>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</si>
  <si>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</si>
  <si>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</si>
  <si>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</si>
  <si>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</si>
  <si>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</si>
  <si>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</si>
  <si>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</si>
  <si>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</si>
  <si>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</si>
  <si>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</si>
  <si>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</si>
  <si>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</si>
  <si>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</si>
  <si>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</si>
  <si>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</si>
  <si>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</si>
  <si>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</si>
  <si>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</si>
  <si>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</si>
  <si>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</si>
  <si>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</si>
  <si>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</si>
  <si>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</si>
  <si>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</si>
  <si>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</si>
  <si>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</si>
  <si>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</si>
  <si>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</si>
  <si>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</si>
  <si>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</si>
  <si>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</si>
  <si>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</si>
  <si>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</si>
  <si>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</si>
  <si>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</si>
  <si>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</si>
  <si>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</si>
  <si>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</si>
  <si>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</si>
  <si>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</si>
  <si>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</si>
  <si>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</si>
  <si>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</si>
  <si>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</si>
  <si>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</si>
  <si>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</si>
  <si>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</si>
  <si>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</si>
  <si>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</si>
  <si>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</si>
  <si>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</si>
  <si>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</si>
  <si>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</si>
  <si>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</si>
  <si>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</si>
  <si>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</si>
  <si>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</si>
  <si>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</si>
  <si>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</si>
  <si>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</si>
  <si>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</si>
  <si>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</si>
  <si>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</si>
  <si>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</si>
  <si>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</si>
  <si>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</si>
  <si>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</si>
  <si>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</si>
  <si>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</si>
  <si>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</si>
  <si>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</si>
  <si>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</si>
  <si>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</si>
  <si>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</si>
  <si>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</si>
  <si>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</si>
  <si>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</si>
  <si>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</si>
  <si>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</si>
  <si>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</si>
  <si>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</si>
  <si>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</si>
  <si>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</si>
  <si>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</si>
  <si>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</si>
  <si>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</si>
  <si>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</si>
  <si>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</si>
  <si>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</si>
  <si>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</si>
  <si>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</si>
  <si>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</si>
  <si>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</si>
  <si>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Red Bluff Creek</t>
  </si>
  <si>
    <t>Red Bluff Creek, Francis Marion NF</t>
  </si>
  <si>
    <t>33.223015, -79.519964</t>
  </si>
  <si>
    <t>sand</t>
  </si>
  <si>
    <t>&gt;70</t>
  </si>
  <si>
    <t>&gt;10.0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</si>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</sst>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6.129999999999999</c:v>
                </c:pt>
                <c:pt idx="2">
                  <c:v>9.41</c:v>
                </c:pt>
                <c:pt idx="3">
                  <c:v>9.9</c:v>
                </c:pt>
                <c:pt idx="4">
                  <c:v>10.210000000000001</c:v>
                </c:pt>
                <c:pt idx="5">
                  <c:v>10.61</c:v>
                </c:pt>
                <c:pt idx="6">
                  <c:v>13.54</c:v>
                </c:pt>
                <c:pt idx="7">
                  <c:v>16.21</c:v>
                </c:pt>
                <c:pt idx="8">
                  <c:v>16.920000000000002</c:v>
                </c:pt>
                <c:pt idx="9">
                  <c:v>20.61</c:v>
                </c:pt>
                <c:pt idx="10">
                  <c:v>44.43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99.36</c:v>
                </c:pt>
                <c:pt idx="1">
                  <c:v>99.25</c:v>
                </c:pt>
                <c:pt idx="2">
                  <c:v>99.39</c:v>
                </c:pt>
                <c:pt idx="3">
                  <c:v>99.18</c:v>
                </c:pt>
                <c:pt idx="4">
                  <c:v>99.08</c:v>
                </c:pt>
                <c:pt idx="5">
                  <c:v>97.67</c:v>
                </c:pt>
                <c:pt idx="6">
                  <c:v>97.79</c:v>
                </c:pt>
                <c:pt idx="7">
                  <c:v>98.41</c:v>
                </c:pt>
                <c:pt idx="8">
                  <c:v>99.18</c:v>
                </c:pt>
                <c:pt idx="9">
                  <c:v>99.43</c:v>
                </c:pt>
                <c:pt idx="10">
                  <c:v>99.95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6032560"/>
        <c:axId val="156030992"/>
      </c:scatterChart>
      <c:valAx>
        <c:axId val="156032560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56030992"/>
        <c:crosses val="autoZero"/>
        <c:crossBetween val="midCat"/>
      </c:valAx>
      <c:valAx>
        <c:axId val="156030992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56032560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6031384"/>
        <c:axId val="156031776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56031384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56031776"/>
        <c:crosses val="autoZero"/>
        <c:crossBetween val="midCat"/>
        <c:minorUnit val="25"/>
      </c:valAx>
      <c:valAx>
        <c:axId val="156031776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56031384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6" sqref="B6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105</v>
      </c>
      <c r="C1" s="110">
        <v>43859</v>
      </c>
      <c r="D1" s="105"/>
      <c r="E1" s="111" t="s">
        <v>106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104</v>
      </c>
      <c r="D6" s="127"/>
      <c r="E6" s="128"/>
    </row>
    <row r="7" spans="2:5" ht="16.95" customHeight="1" x14ac:dyDescent="0.25">
      <c r="B7" s="15" t="s">
        <v>59</v>
      </c>
      <c r="C7" s="129" t="s">
        <v>110</v>
      </c>
      <c r="D7" s="130"/>
      <c r="E7" s="131"/>
    </row>
    <row r="8" spans="2:5" ht="16.95" customHeight="1" x14ac:dyDescent="0.25">
      <c r="B8" s="15" t="s">
        <v>21</v>
      </c>
      <c r="C8" s="132">
        <v>0.57999999999999996</v>
      </c>
      <c r="D8" s="133"/>
      <c r="E8" s="134"/>
    </row>
    <row r="9" spans="2:5" ht="16.95" customHeight="1" x14ac:dyDescent="0.25">
      <c r="B9" s="15" t="s">
        <v>89</v>
      </c>
      <c r="C9" s="144" t="s">
        <v>107</v>
      </c>
      <c r="D9" s="145"/>
      <c r="E9" s="146"/>
    </row>
    <row r="10" spans="2:5" ht="16.95" customHeight="1" x14ac:dyDescent="0.25">
      <c r="B10" s="15" t="s">
        <v>52</v>
      </c>
      <c r="C10" s="138">
        <f>'Longitudinal Profile'!H9</f>
        <v>4.3115438108483999E-3</v>
      </c>
      <c r="D10" s="139"/>
      <c r="E10" s="140"/>
    </row>
    <row r="11" spans="2:5" ht="16.95" customHeight="1" x14ac:dyDescent="0.25">
      <c r="B11" s="15" t="s">
        <v>53</v>
      </c>
      <c r="C11" s="147">
        <f>'Longitudinal Profile'!H11</f>
        <v>1.05</v>
      </c>
      <c r="D11" s="148"/>
      <c r="E11" s="149"/>
    </row>
    <row r="12" spans="2:5" ht="16.95" customHeight="1" thickBot="1" x14ac:dyDescent="0.3">
      <c r="B12" s="15" t="s">
        <v>23</v>
      </c>
      <c r="C12" s="141">
        <f>'Longitudinal Profile'!H7</f>
        <v>71.900000000000006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7.7429500000000315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7.0200000000000014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1.1029843304843348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6.3645509786321517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1.5100000000000051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1.3690131022413932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1.51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0.99999999999999667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 t="str">
        <f>'Cross-section'!G14</f>
        <v>&gt;70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 t="str">
        <f>'Cross-section'!G15</f>
        <v>&gt;10.0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5" t="s">
        <v>54</v>
      </c>
      <c r="D24" s="156"/>
      <c r="E24" s="157"/>
    </row>
    <row r="25" spans="2:5" ht="16.95" customHeight="1" x14ac:dyDescent="0.25">
      <c r="B25" s="40" t="s">
        <v>80</v>
      </c>
      <c r="C25" s="122">
        <f>'Cross-section'!G18</f>
        <v>11.232993112143436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1.4507381698375155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0.2257937273715285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0.32756757880776216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18.34361156567503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55.404957742956427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3" t="s">
        <v>17</v>
      </c>
      <c r="C31" s="150" t="s">
        <v>57</v>
      </c>
      <c r="D31" s="151"/>
      <c r="E31" s="152"/>
    </row>
    <row r="32" spans="2:5" ht="16.95" customHeight="1" thickBot="1" x14ac:dyDescent="0.3">
      <c r="B32" s="154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53" t="s">
        <v>17</v>
      </c>
      <c r="C39" s="150" t="s">
        <v>58</v>
      </c>
      <c r="D39" s="151"/>
      <c r="E39" s="152"/>
    </row>
    <row r="40" spans="2:5" ht="16.95" customHeight="1" thickBot="1" x14ac:dyDescent="0.3">
      <c r="B40" s="154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H2" sqref="H2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4" t="s">
        <v>17</v>
      </c>
      <c r="C5" s="165"/>
      <c r="D5" s="165"/>
      <c r="E5" s="165"/>
      <c r="F5" s="166"/>
      <c r="G5" s="164" t="s">
        <v>64</v>
      </c>
      <c r="H5" s="165"/>
      <c r="I5" s="166"/>
      <c r="K5" s="5"/>
      <c r="L5" s="5"/>
    </row>
    <row r="6" spans="2:12" ht="16.5" customHeight="1" x14ac:dyDescent="0.25">
      <c r="B6" s="173" t="s">
        <v>71</v>
      </c>
      <c r="C6" s="174"/>
      <c r="D6" s="174"/>
      <c r="E6" s="174"/>
      <c r="F6" s="175"/>
      <c r="G6" s="161">
        <f>K30</f>
        <v>7.7429500000000315</v>
      </c>
      <c r="H6" s="162"/>
      <c r="I6" s="163"/>
      <c r="K6" s="5"/>
      <c r="L6" s="5"/>
    </row>
    <row r="7" spans="2:12" ht="16.5" customHeight="1" x14ac:dyDescent="0.25">
      <c r="B7" s="173" t="s">
        <v>72</v>
      </c>
      <c r="C7" s="174"/>
      <c r="D7" s="174"/>
      <c r="E7" s="174"/>
      <c r="F7" s="175"/>
      <c r="G7" s="161">
        <f t="shared" ref="G7:G15" si="0">K31</f>
        <v>7.0200000000000014</v>
      </c>
      <c r="H7" s="162"/>
      <c r="I7" s="163"/>
      <c r="J7" s="12"/>
      <c r="K7" s="5"/>
      <c r="L7" s="5"/>
    </row>
    <row r="8" spans="2:12" ht="16.5" customHeight="1" x14ac:dyDescent="0.25">
      <c r="B8" s="173" t="s">
        <v>73</v>
      </c>
      <c r="C8" s="174"/>
      <c r="D8" s="174"/>
      <c r="E8" s="174"/>
      <c r="F8" s="175"/>
      <c r="G8" s="161">
        <f t="shared" si="0"/>
        <v>1.1029843304843348</v>
      </c>
      <c r="H8" s="162"/>
      <c r="I8" s="163"/>
      <c r="J8" s="12"/>
      <c r="K8" s="5"/>
      <c r="L8" s="5"/>
    </row>
    <row r="9" spans="2:12" ht="16.5" customHeight="1" x14ac:dyDescent="0.25">
      <c r="B9" s="173" t="s">
        <v>74</v>
      </c>
      <c r="C9" s="174"/>
      <c r="D9" s="174"/>
      <c r="E9" s="174"/>
      <c r="F9" s="175"/>
      <c r="G9" s="161">
        <f t="shared" si="0"/>
        <v>6.3645509786321517</v>
      </c>
      <c r="H9" s="162"/>
      <c r="I9" s="163"/>
      <c r="J9" s="12"/>
      <c r="K9" s="5"/>
      <c r="L9" s="5"/>
    </row>
    <row r="10" spans="2:12" ht="16.5" customHeight="1" x14ac:dyDescent="0.25">
      <c r="B10" s="173" t="s">
        <v>75</v>
      </c>
      <c r="C10" s="174"/>
      <c r="D10" s="174"/>
      <c r="E10" s="174"/>
      <c r="F10" s="175"/>
      <c r="G10" s="161">
        <f t="shared" si="0"/>
        <v>1.5100000000000051</v>
      </c>
      <c r="H10" s="162"/>
      <c r="I10" s="163"/>
      <c r="J10" s="12"/>
      <c r="K10" s="5"/>
      <c r="L10" s="5"/>
    </row>
    <row r="11" spans="2:12" ht="16.5" customHeight="1" x14ac:dyDescent="0.25">
      <c r="B11" s="173" t="s">
        <v>76</v>
      </c>
      <c r="C11" s="174"/>
      <c r="D11" s="174"/>
      <c r="E11" s="174"/>
      <c r="F11" s="175"/>
      <c r="G11" s="161">
        <f t="shared" si="0"/>
        <v>1.3690131022413932</v>
      </c>
      <c r="H11" s="162"/>
      <c r="I11" s="163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1">
        <f t="shared" si="0"/>
        <v>1.51</v>
      </c>
      <c r="H12" s="162"/>
      <c r="I12" s="163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1">
        <f t="shared" si="0"/>
        <v>0.99999999999999667</v>
      </c>
      <c r="H13" s="162"/>
      <c r="I13" s="163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1" t="str">
        <f t="shared" si="0"/>
        <v>&gt;70</v>
      </c>
      <c r="H14" s="162"/>
      <c r="I14" s="163"/>
      <c r="J14" s="12"/>
      <c r="K14" s="5"/>
      <c r="L14" s="5"/>
    </row>
    <row r="15" spans="2:12" ht="16.5" customHeight="1" x14ac:dyDescent="0.25">
      <c r="B15" s="173" t="s">
        <v>79</v>
      </c>
      <c r="C15" s="174"/>
      <c r="D15" s="174"/>
      <c r="E15" s="174"/>
      <c r="F15" s="175"/>
      <c r="G15" s="161" t="str">
        <f t="shared" si="0"/>
        <v>&gt;10.0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4" t="s">
        <v>17</v>
      </c>
      <c r="C17" s="165"/>
      <c r="D17" s="165"/>
      <c r="E17" s="165"/>
      <c r="F17" s="166"/>
      <c r="G17" s="164" t="s">
        <v>54</v>
      </c>
      <c r="H17" s="165"/>
      <c r="I17" s="166"/>
      <c r="K17" s="5"/>
      <c r="L17" s="5"/>
    </row>
    <row r="18" spans="2:12" ht="16.5" customHeight="1" x14ac:dyDescent="0.25">
      <c r="B18" s="173" t="s">
        <v>80</v>
      </c>
      <c r="C18" s="174"/>
      <c r="D18" s="174"/>
      <c r="E18" s="174"/>
      <c r="F18" s="175"/>
      <c r="G18" s="158">
        <f>K44</f>
        <v>11.232993112143436</v>
      </c>
      <c r="H18" s="159"/>
      <c r="I18" s="160"/>
      <c r="K18" s="5"/>
      <c r="L18" s="5"/>
    </row>
    <row r="19" spans="2:12" ht="16.5" customHeight="1" x14ac:dyDescent="0.25">
      <c r="B19" s="173" t="s">
        <v>81</v>
      </c>
      <c r="C19" s="174"/>
      <c r="D19" s="174"/>
      <c r="E19" s="174"/>
      <c r="F19" s="175"/>
      <c r="G19" s="122">
        <f t="shared" ref="G19:G23" si="1">K45</f>
        <v>1.4507381698375155</v>
      </c>
      <c r="H19" s="123"/>
      <c r="I19" s="124"/>
      <c r="K19" s="5"/>
      <c r="L19" s="5"/>
    </row>
    <row r="20" spans="2:12" ht="16.5" customHeight="1" x14ac:dyDescent="0.25">
      <c r="B20" s="173" t="s">
        <v>82</v>
      </c>
      <c r="C20" s="174"/>
      <c r="D20" s="174"/>
      <c r="E20" s="174"/>
      <c r="F20" s="175"/>
      <c r="G20" s="122">
        <f t="shared" si="1"/>
        <v>0.2257937273715285</v>
      </c>
      <c r="H20" s="123"/>
      <c r="I20" s="124"/>
      <c r="J20" s="2"/>
      <c r="K20" s="5"/>
      <c r="L20" s="5"/>
    </row>
    <row r="21" spans="2:12" ht="16.5" customHeight="1" x14ac:dyDescent="0.25">
      <c r="B21" s="173" t="s">
        <v>49</v>
      </c>
      <c r="C21" s="174"/>
      <c r="D21" s="174"/>
      <c r="E21" s="174"/>
      <c r="F21" s="175"/>
      <c r="G21" s="122">
        <f t="shared" si="1"/>
        <v>0.32756757880776216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8">
        <f t="shared" si="1"/>
        <v>18.34361156567503</v>
      </c>
      <c r="H22" s="159"/>
      <c r="I22" s="160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8">
        <f t="shared" si="1"/>
        <v>55.404957742956427</v>
      </c>
      <c r="H23" s="159"/>
      <c r="I23" s="160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99.36</v>
      </c>
      <c r="F29" s="31"/>
      <c r="G29" s="32"/>
      <c r="H29" s="31"/>
      <c r="J29" s="33" t="s">
        <v>15</v>
      </c>
      <c r="K29" s="34">
        <f>LOOKUP("LBKF",B29:E51)</f>
        <v>99.18</v>
      </c>
      <c r="L29" s="35"/>
    </row>
    <row r="30" spans="2:12" ht="16.5" customHeight="1" x14ac:dyDescent="0.25">
      <c r="B30" s="119"/>
      <c r="C30" s="120">
        <v>6.129999999999999</v>
      </c>
      <c r="D30" s="121"/>
      <c r="E30" s="30">
        <v>99.25</v>
      </c>
      <c r="F30" s="31">
        <f t="shared" ref="F30:F38" si="2">IF(E30&gt;0,IF(E30&lt;K$29,K$29-E30,0),0)</f>
        <v>0</v>
      </c>
      <c r="G30" s="32">
        <f t="shared" ref="G30:G38" si="3">IF(E30&gt;0,IF(E30&lt;=K$29,C30-C29,0),0)</f>
        <v>0</v>
      </c>
      <c r="H30" s="31">
        <f t="shared" ref="H30:H38" si="4">IF(E30&lt;=K$29,G30*(F29+F30)/2,0)</f>
        <v>0</v>
      </c>
      <c r="J30" s="37" t="s">
        <v>71</v>
      </c>
      <c r="K30" s="11">
        <f>SUM(H29:H51)</f>
        <v>7.7429500000000315</v>
      </c>
      <c r="L30" s="35"/>
    </row>
    <row r="31" spans="2:12" ht="16.5" customHeight="1" x14ac:dyDescent="0.25">
      <c r="B31" s="119"/>
      <c r="C31" s="120">
        <v>9.41</v>
      </c>
      <c r="D31" s="121"/>
      <c r="E31" s="30">
        <v>99.39</v>
      </c>
      <c r="F31" s="31">
        <f t="shared" si="2"/>
        <v>0</v>
      </c>
      <c r="G31" s="32">
        <f t="shared" si="3"/>
        <v>0</v>
      </c>
      <c r="H31" s="31">
        <f t="shared" si="4"/>
        <v>0</v>
      </c>
      <c r="J31" s="37" t="s">
        <v>72</v>
      </c>
      <c r="K31" s="11">
        <f>LOOKUP("RBKF",B29:C51)-LOOKUP("LBKF",B29:C51)</f>
        <v>7.0200000000000014</v>
      </c>
      <c r="L31" s="35"/>
    </row>
    <row r="32" spans="2:12" ht="16.5" customHeight="1" x14ac:dyDescent="0.25">
      <c r="B32" s="119" t="s">
        <v>2</v>
      </c>
      <c r="C32" s="120">
        <v>9.9</v>
      </c>
      <c r="D32" s="121"/>
      <c r="E32" s="30">
        <v>99.18</v>
      </c>
      <c r="F32" s="31">
        <f t="shared" si="2"/>
        <v>0</v>
      </c>
      <c r="G32" s="32">
        <f t="shared" si="3"/>
        <v>0.49000000000000021</v>
      </c>
      <c r="H32" s="31">
        <f t="shared" si="4"/>
        <v>0</v>
      </c>
      <c r="J32" s="37" t="s">
        <v>73</v>
      </c>
      <c r="K32" s="11">
        <f>K30/K31</f>
        <v>1.1029843304843348</v>
      </c>
      <c r="L32" s="35"/>
    </row>
    <row r="33" spans="2:13" ht="16.5" customHeight="1" x14ac:dyDescent="0.25">
      <c r="B33" s="119"/>
      <c r="C33" s="120">
        <v>10.210000000000001</v>
      </c>
      <c r="D33" s="121"/>
      <c r="E33" s="30">
        <v>99.08</v>
      </c>
      <c r="F33" s="31">
        <f t="shared" si="2"/>
        <v>0.10000000000000853</v>
      </c>
      <c r="G33" s="32">
        <f t="shared" si="3"/>
        <v>0.3100000000000005</v>
      </c>
      <c r="H33" s="31">
        <f t="shared" si="4"/>
        <v>1.5500000000001346E-2</v>
      </c>
      <c r="J33" s="37" t="s">
        <v>74</v>
      </c>
      <c r="K33" s="38">
        <f>K31/K32</f>
        <v>6.3645509786321517</v>
      </c>
      <c r="L33" s="35"/>
    </row>
    <row r="34" spans="2:13" ht="16.5" customHeight="1" x14ac:dyDescent="0.25">
      <c r="B34" s="119"/>
      <c r="C34" s="120">
        <v>10.61</v>
      </c>
      <c r="D34" s="121"/>
      <c r="E34" s="30">
        <v>97.67</v>
      </c>
      <c r="F34" s="31">
        <f t="shared" si="2"/>
        <v>1.5100000000000051</v>
      </c>
      <c r="G34" s="32">
        <f t="shared" si="3"/>
        <v>0.39999999999999858</v>
      </c>
      <c r="H34" s="31">
        <f t="shared" si="4"/>
        <v>0.32200000000000156</v>
      </c>
      <c r="J34" s="37" t="s">
        <v>75</v>
      </c>
      <c r="K34" s="11">
        <f>MAX(F29:F51)</f>
        <v>1.5100000000000051</v>
      </c>
      <c r="L34" s="35"/>
    </row>
    <row r="35" spans="2:13" ht="16.5" customHeight="1" x14ac:dyDescent="0.25">
      <c r="B35" s="119"/>
      <c r="C35" s="120">
        <v>13.54</v>
      </c>
      <c r="D35" s="121"/>
      <c r="E35" s="30">
        <v>97.79</v>
      </c>
      <c r="F35" s="31">
        <f t="shared" si="2"/>
        <v>1.3900000000000006</v>
      </c>
      <c r="G35" s="32">
        <f t="shared" si="3"/>
        <v>2.9299999999999997</v>
      </c>
      <c r="H35" s="31">
        <f t="shared" si="4"/>
        <v>4.2485000000000079</v>
      </c>
      <c r="J35" s="37" t="s">
        <v>76</v>
      </c>
      <c r="K35" s="39">
        <f>K34/K32</f>
        <v>1.3690131022413932</v>
      </c>
      <c r="L35" s="35"/>
    </row>
    <row r="36" spans="2:13" ht="16.5" customHeight="1" x14ac:dyDescent="0.25">
      <c r="B36" s="119"/>
      <c r="C36" s="120">
        <v>16.21</v>
      </c>
      <c r="D36" s="121"/>
      <c r="E36" s="30">
        <v>98.41</v>
      </c>
      <c r="F36" s="31">
        <f t="shared" si="2"/>
        <v>0.77000000000001023</v>
      </c>
      <c r="G36" s="32">
        <f t="shared" si="3"/>
        <v>2.6700000000000017</v>
      </c>
      <c r="H36" s="31">
        <f t="shared" si="4"/>
        <v>2.8836000000000164</v>
      </c>
      <c r="J36" s="40" t="s">
        <v>25</v>
      </c>
      <c r="K36" s="41">
        <v>1.51</v>
      </c>
      <c r="L36" s="35"/>
    </row>
    <row r="37" spans="2:13" ht="16.5" customHeight="1" x14ac:dyDescent="0.25">
      <c r="B37" s="119" t="s">
        <v>3</v>
      </c>
      <c r="C37" s="120">
        <v>16.920000000000002</v>
      </c>
      <c r="D37" s="121"/>
      <c r="E37" s="30">
        <v>99.18</v>
      </c>
      <c r="F37" s="31">
        <f t="shared" si="2"/>
        <v>0</v>
      </c>
      <c r="G37" s="32">
        <f t="shared" si="3"/>
        <v>0.71000000000000085</v>
      </c>
      <c r="H37" s="31">
        <f t="shared" si="4"/>
        <v>0.27335000000000398</v>
      </c>
      <c r="J37" s="40" t="s">
        <v>77</v>
      </c>
      <c r="K37" s="42">
        <f>+K36/K34</f>
        <v>0.99999999999999667</v>
      </c>
      <c r="L37" s="35"/>
    </row>
    <row r="38" spans="2:13" ht="16.5" customHeight="1" x14ac:dyDescent="0.25">
      <c r="B38" s="119"/>
      <c r="C38" s="120">
        <v>20.61</v>
      </c>
      <c r="D38" s="121"/>
      <c r="E38" s="30">
        <v>99.43</v>
      </c>
      <c r="F38" s="31">
        <f t="shared" si="2"/>
        <v>0</v>
      </c>
      <c r="G38" s="32">
        <f t="shared" si="3"/>
        <v>0</v>
      </c>
      <c r="H38" s="31">
        <f t="shared" si="4"/>
        <v>0</v>
      </c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>
        <v>44.43</v>
      </c>
      <c r="D39" s="121"/>
      <c r="E39" s="30">
        <v>99.95</v>
      </c>
      <c r="F39" s="31">
        <f t="shared" ref="F39" si="5">IF(E39&gt;0,IF(E39&lt;K$29,K$29-E39,0),0)</f>
        <v>0</v>
      </c>
      <c r="G39" s="32">
        <f t="shared" ref="G39" si="6">IF(E39&gt;0,IF(E39&lt;=K$29,C39-C38,0),0)</f>
        <v>0</v>
      </c>
      <c r="H39" s="31">
        <f t="shared" ref="H39" si="7">IF(E39&lt;=K$29,G39*(F38+F39)/2,0)</f>
        <v>0</v>
      </c>
      <c r="J39" s="37" t="s">
        <v>79</v>
      </c>
      <c r="K39" s="11" t="s">
        <v>109</v>
      </c>
      <c r="L39" s="35"/>
    </row>
    <row r="40" spans="2:13" ht="16.5" customHeight="1" x14ac:dyDescent="0.25">
      <c r="B40" s="119"/>
      <c r="C40" s="120"/>
      <c r="D40" s="121"/>
      <c r="E40" s="30"/>
      <c r="F40" s="31"/>
      <c r="G40" s="32"/>
      <c r="H40" s="31"/>
      <c r="J40" s="37" t="s">
        <v>8</v>
      </c>
      <c r="K40" s="108">
        <f>+'Longitudinal Profile'!$H$9</f>
        <v>4.3115438108483999E-3</v>
      </c>
      <c r="L40" s="45"/>
    </row>
    <row r="41" spans="2:13" ht="16.5" customHeight="1" x14ac:dyDescent="0.25">
      <c r="B41" s="119"/>
      <c r="C41" s="120"/>
      <c r="D41" s="121"/>
      <c r="E41" s="30"/>
      <c r="F41" s="31"/>
      <c r="G41" s="32"/>
      <c r="H41" s="31"/>
      <c r="J41" s="37" t="s">
        <v>10</v>
      </c>
      <c r="K41" s="46">
        <v>0.06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9.2259686609686717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0.8392560482843725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11.232993112143436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1.4507381698375155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0.2257937273715285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0.32756757880776216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18.34361156567503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55.404957742956427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2" sqref="E2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/>
      <c r="D6" s="73"/>
      <c r="F6" s="181" t="s">
        <v>28</v>
      </c>
      <c r="G6" s="182"/>
      <c r="H6" s="72">
        <f>H7/H11</f>
        <v>68.476190476190482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71.900000000000006</v>
      </c>
      <c r="I7" s="67"/>
      <c r="J7" s="179" t="s">
        <v>85</v>
      </c>
      <c r="K7" s="179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0.31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4.3115438108483999E-3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4.52712100139082E-3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v>1.05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2020-02-19T23:46:55Z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