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 s="1"/>
  <c r="F31" i="81"/>
  <c r="G31" i="81"/>
  <c r="H31" i="81" s="1"/>
  <c r="F32" i="81"/>
  <c r="G32" i="81"/>
  <c r="H32" i="81" s="1"/>
  <c r="F33" i="81"/>
  <c r="G33" i="81"/>
  <c r="H33" i="81"/>
  <c r="F34" i="81"/>
  <c r="G34" i="81"/>
  <c r="H34" i="81" s="1"/>
  <c r="F35" i="81"/>
  <c r="H35" i="81" s="1"/>
  <c r="G35" i="81"/>
  <c r="F36" i="81"/>
  <c r="G36" i="81"/>
  <c r="H36" i="81" s="1"/>
  <c r="F37" i="81"/>
  <c r="G37" i="81"/>
  <c r="H37" i="81"/>
  <c r="H38" i="81"/>
  <c r="G38" i="81"/>
  <c r="F38" i="81"/>
  <c r="K29" i="81" l="1"/>
  <c r="K31" i="81"/>
  <c r="G15" i="81" s="1"/>
  <c r="C23" i="73" s="1"/>
  <c r="K40" i="81"/>
  <c r="G12" i="81"/>
  <c r="C20" i="73" s="1"/>
  <c r="G14" i="8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G7" i="81"/>
  <c r="C15" i="73" s="1"/>
  <c r="K34" i="81" l="1"/>
  <c r="G10" i="81" s="1"/>
  <c r="C18" i="73" s="1"/>
  <c r="K37" i="81" l="1"/>
  <c r="G13" i="81" s="1"/>
  <c r="C21" i="73" s="1"/>
  <c r="K30" i="81"/>
  <c r="G6" i="81" s="1"/>
  <c r="C14" i="73" s="1"/>
  <c r="K32" i="81" l="1"/>
  <c r="G8" i="81" s="1"/>
  <c r="C16" i="73" s="1"/>
  <c r="K35" i="81" l="1"/>
  <c r="G11" i="81" s="1"/>
  <c r="C19" i="73" s="1"/>
  <c r="K33" i="81"/>
  <c r="G9" i="81" s="1"/>
  <c r="C17" i="73" s="1"/>
  <c r="K42" i="81"/>
  <c r="K43" i="81" s="1"/>
  <c r="K46" i="81" s="1"/>
  <c r="K44" i="81" l="1"/>
  <c r="K45" i="81" s="1"/>
  <c r="G19" i="81" s="1"/>
  <c r="C26" i="73" s="1"/>
  <c r="G20" i="81"/>
  <c r="C27" i="73" s="1"/>
  <c r="K48" i="81"/>
  <c r="G22" i="81" s="1"/>
  <c r="C29" i="73" s="1"/>
  <c r="K49" i="81"/>
  <c r="G23" i="81" s="1"/>
  <c r="C30" i="73" s="1"/>
  <c r="G18" i="81" l="1"/>
  <c r="C25" i="73" s="1"/>
  <c r="K47" i="8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<sst xmlns="http://schemas.openxmlformats.org/spreadsheetml/2006/main" count="172" uniqueCount="111">
  <si>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</si>
  <si>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</si>
  <si>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</si>
  <si>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</si>
  <si>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</si>
  <si>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</si>
  <si>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</si>
  <si>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</si>
  <si>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</si>
  <si>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</si>
  <si>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</si>
  <si>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</si>
  <si>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</si>
  <si>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</si>
  <si>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</si>
  <si>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</si>
  <si>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</si>
  <si>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</si>
  <si>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</si>
  <si>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</si>
  <si>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</si>
  <si>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</si>
  <si>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</si>
  <si>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</si>
  <si>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</si>
  <si>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</si>
  <si>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</si>
  <si>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</si>
  <si>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</si>
  <si>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</si>
  <si>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</si>
  <si>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</si>
  <si>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</si>
  <si>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</si>
  <si>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</si>
  <si>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</si>
  <si>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</si>
  <si>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</si>
  <si>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</si>
  <si>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</si>
  <si>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</si>
  <si>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</si>
  <si>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</si>
  <si>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</si>
  <si>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</si>
  <si>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</si>
  <si>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</si>
  <si>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</si>
  <si>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</si>
  <si>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</si>
  <si>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</si>
  <si>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</si>
  <si>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</si>
  <si>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</si>
  <si>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</si>
  <si>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</si>
  <si>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</si>
  <si>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</si>
  <si>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</si>
  <si>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</si>
  <si>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</si>
  <si>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</si>
  <si>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</si>
  <si>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</si>
  <si>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</si>
  <si>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</si>
  <si>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</si>
  <si>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</si>
  <si>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</si>
  <si>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</si>
  <si>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</si>
  <si>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</si>
  <si>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</si>
  <si>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</si>
  <si>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</si>
  <si>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</si>
  <si>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</si>
  <si>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</si>
  <si>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</si>
  <si>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</si>
  <si>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</si>
  <si>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</si>
  <si>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</si>
  <si>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</si>
  <si>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</si>
  <si>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</si>
  <si>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</si>
  <si>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</si>
  <si>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</si>
  <si>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</si>
  <si>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</si>
  <si>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</si>
  <si>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</si>
  <si>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</si>
  <si>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</si>
  <si>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</si>
  <si>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</si>
  <si>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</si>
  <si>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</si>
  <si>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</si>
  <si>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</si>
  <si>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</si>
  <si>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</si>
  <si>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</si>
  <si>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Big Branch, Bamberg County</t>
  </si>
  <si>
    <t>33.063887, -81.082283</t>
  </si>
  <si>
    <t>Big Branch</t>
  </si>
  <si>
    <t>sand</t>
  </si>
  <si>
    <t>&gt;142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</si>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</sst>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10.26</c:v>
                </c:pt>
                <c:pt idx="2">
                  <c:v>11.52</c:v>
                </c:pt>
                <c:pt idx="3">
                  <c:v>11.760000000000002</c:v>
                </c:pt>
                <c:pt idx="4">
                  <c:v>15.059999999999999</c:v>
                </c:pt>
                <c:pt idx="5">
                  <c:v>17.73</c:v>
                </c:pt>
                <c:pt idx="6">
                  <c:v>20.75</c:v>
                </c:pt>
                <c:pt idx="7">
                  <c:v>23.39</c:v>
                </c:pt>
                <c:pt idx="8">
                  <c:v>24.5</c:v>
                </c:pt>
                <c:pt idx="9">
                  <c:v>24.73</c:v>
                </c:pt>
                <c:pt idx="10">
                  <c:v>44.14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99.77</c:v>
                </c:pt>
                <c:pt idx="1">
                  <c:v>99.68</c:v>
                </c:pt>
                <c:pt idx="2">
                  <c:v>99.06</c:v>
                </c:pt>
                <c:pt idx="3">
                  <c:v>97.91</c:v>
                </c:pt>
                <c:pt idx="4">
                  <c:v>97.92</c:v>
                </c:pt>
                <c:pt idx="5">
                  <c:v>98.1</c:v>
                </c:pt>
                <c:pt idx="6">
                  <c:v>98.88</c:v>
                </c:pt>
                <c:pt idx="7">
                  <c:v>99</c:v>
                </c:pt>
                <c:pt idx="8">
                  <c:v>99.68</c:v>
                </c:pt>
                <c:pt idx="9">
                  <c:v>99.8</c:v>
                </c:pt>
                <c:pt idx="10">
                  <c:v>99.61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6193864"/>
        <c:axId val="166193472"/>
      </c:scatterChart>
      <c:valAx>
        <c:axId val="16619386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6193472"/>
        <c:crosses val="autoZero"/>
        <c:crossBetween val="midCat"/>
      </c:valAx>
      <c:valAx>
        <c:axId val="16619347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619386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6195040"/>
        <c:axId val="16619268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6619504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66192688"/>
        <c:crosses val="autoZero"/>
        <c:crossBetween val="midCat"/>
        <c:minorUnit val="25"/>
      </c:valAx>
      <c:valAx>
        <c:axId val="16619268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6619504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8" sqref="B8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43865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2.0299999999999998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1.8492176386913231E-3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1.22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70.3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16.885600000000117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14.24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1.1857865168539408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12.008906997678412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1.7700000000000102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1.4926801535035754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1.77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0.99999999999999423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&gt;142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21.034537254046604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1.2457086069814789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0.11729469064146769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0.14611500568530622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9.5290877602758819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28.78161166882407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2" sqref="G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16.885600000000117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14.24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1.1857865168539408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12.008906997678412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1.7700000000000102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1.4926801535035754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1.77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0.99999999999999423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&gt;142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21.034537254046604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1.2457086069814789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0.11729469064146769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0.14611500568530622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9.5290877602758819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28.78161166882407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99.77</v>
      </c>
      <c r="F29" s="31"/>
      <c r="G29" s="32"/>
      <c r="H29" s="31"/>
      <c r="J29" s="33" t="s">
        <v>15</v>
      </c>
      <c r="K29" s="34">
        <f>LOOKUP("LBKF",B29:E51)</f>
        <v>99.68</v>
      </c>
      <c r="L29" s="35"/>
    </row>
    <row r="30" spans="2:12" ht="16.5" customHeight="1" x14ac:dyDescent="0.25">
      <c r="B30" s="119" t="s">
        <v>2</v>
      </c>
      <c r="C30" s="120">
        <v>10.26</v>
      </c>
      <c r="D30" s="121"/>
      <c r="E30" s="30">
        <v>99.68</v>
      </c>
      <c r="F30" s="31">
        <f t="shared" ref="F30:F37" si="2">IF(E30&gt;0,IF(E30&lt;K$29,K$29-E30,0),0)</f>
        <v>0</v>
      </c>
      <c r="G30" s="32">
        <f t="shared" ref="G30:G37" si="3">IF(E30&gt;0,IF(E30&lt;=K$29,C30-C29,0),0)</f>
        <v>10.26</v>
      </c>
      <c r="H30" s="31">
        <f t="shared" ref="H30:H37" si="4">IF(E30&lt;=K$29,G30*(F29+F30)/2,0)</f>
        <v>0</v>
      </c>
      <c r="J30" s="37" t="s">
        <v>71</v>
      </c>
      <c r="K30" s="11">
        <f>SUM(H29:H51)</f>
        <v>16.885600000000117</v>
      </c>
      <c r="L30" s="35"/>
    </row>
    <row r="31" spans="2:12" ht="16.5" customHeight="1" x14ac:dyDescent="0.25">
      <c r="B31" s="119"/>
      <c r="C31" s="120">
        <v>11.52</v>
      </c>
      <c r="D31" s="121"/>
      <c r="E31" s="30">
        <v>99.06</v>
      </c>
      <c r="F31" s="31">
        <f t="shared" si="2"/>
        <v>0.62000000000000455</v>
      </c>
      <c r="G31" s="32">
        <f t="shared" si="3"/>
        <v>1.2599999999999998</v>
      </c>
      <c r="H31" s="31">
        <f t="shared" si="4"/>
        <v>0.39060000000000278</v>
      </c>
      <c r="J31" s="37" t="s">
        <v>72</v>
      </c>
      <c r="K31" s="11">
        <f>LOOKUP("RBKF",B29:C51)-LOOKUP("LBKF",B29:C51)</f>
        <v>14.24</v>
      </c>
      <c r="L31" s="35"/>
    </row>
    <row r="32" spans="2:12" ht="16.5" customHeight="1" x14ac:dyDescent="0.25">
      <c r="B32" s="119"/>
      <c r="C32" s="120">
        <v>11.760000000000002</v>
      </c>
      <c r="D32" s="121"/>
      <c r="E32" s="30">
        <v>97.91</v>
      </c>
      <c r="F32" s="31">
        <f t="shared" si="2"/>
        <v>1.7700000000000102</v>
      </c>
      <c r="G32" s="32">
        <f t="shared" si="3"/>
        <v>0.24000000000000199</v>
      </c>
      <c r="H32" s="31">
        <f t="shared" si="4"/>
        <v>0.28680000000000416</v>
      </c>
      <c r="J32" s="37" t="s">
        <v>73</v>
      </c>
      <c r="K32" s="11">
        <f>K30/K31</f>
        <v>1.1857865168539408</v>
      </c>
      <c r="L32" s="35"/>
    </row>
    <row r="33" spans="2:13" ht="16.5" customHeight="1" x14ac:dyDescent="0.25">
      <c r="B33" s="119"/>
      <c r="C33" s="120">
        <v>15.059999999999999</v>
      </c>
      <c r="D33" s="121"/>
      <c r="E33" s="30">
        <v>97.92</v>
      </c>
      <c r="F33" s="31">
        <f t="shared" si="2"/>
        <v>1.7600000000000051</v>
      </c>
      <c r="G33" s="32">
        <f t="shared" si="3"/>
        <v>3.2999999999999972</v>
      </c>
      <c r="H33" s="31">
        <f t="shared" si="4"/>
        <v>5.82450000000002</v>
      </c>
      <c r="J33" s="37" t="s">
        <v>74</v>
      </c>
      <c r="K33" s="38">
        <f>K31/K32</f>
        <v>12.008906997678412</v>
      </c>
      <c r="L33" s="35"/>
    </row>
    <row r="34" spans="2:13" ht="16.5" customHeight="1" x14ac:dyDescent="0.25">
      <c r="B34" s="119"/>
      <c r="C34" s="120">
        <v>17.73</v>
      </c>
      <c r="D34" s="121"/>
      <c r="E34" s="30">
        <v>98.1</v>
      </c>
      <c r="F34" s="31">
        <f t="shared" si="2"/>
        <v>1.5800000000000125</v>
      </c>
      <c r="G34" s="32">
        <f t="shared" si="3"/>
        <v>2.6700000000000017</v>
      </c>
      <c r="H34" s="31">
        <f t="shared" si="4"/>
        <v>4.4589000000000265</v>
      </c>
      <c r="J34" s="37" t="s">
        <v>75</v>
      </c>
      <c r="K34" s="11">
        <f>MAX(F29:F51)</f>
        <v>1.7700000000000102</v>
      </c>
      <c r="L34" s="35"/>
    </row>
    <row r="35" spans="2:13" ht="16.5" customHeight="1" x14ac:dyDescent="0.25">
      <c r="B35" s="119"/>
      <c r="C35" s="120">
        <v>20.75</v>
      </c>
      <c r="D35" s="121"/>
      <c r="E35" s="30">
        <v>98.88</v>
      </c>
      <c r="F35" s="31">
        <f t="shared" si="2"/>
        <v>0.80000000000001137</v>
      </c>
      <c r="G35" s="32">
        <f t="shared" si="3"/>
        <v>3.0199999999999996</v>
      </c>
      <c r="H35" s="31">
        <f t="shared" si="4"/>
        <v>3.5938000000000354</v>
      </c>
      <c r="J35" s="37" t="s">
        <v>76</v>
      </c>
      <c r="K35" s="39">
        <f>K34/K32</f>
        <v>1.4926801535035754</v>
      </c>
      <c r="L35" s="35"/>
    </row>
    <row r="36" spans="2:13" ht="16.5" customHeight="1" x14ac:dyDescent="0.25">
      <c r="B36" s="119"/>
      <c r="C36" s="120">
        <v>23.39</v>
      </c>
      <c r="D36" s="121"/>
      <c r="E36" s="30">
        <v>99</v>
      </c>
      <c r="F36" s="31">
        <f t="shared" si="2"/>
        <v>0.68000000000000682</v>
      </c>
      <c r="G36" s="32">
        <f t="shared" si="3"/>
        <v>2.6400000000000006</v>
      </c>
      <c r="H36" s="31">
        <f t="shared" si="4"/>
        <v>1.9536000000000244</v>
      </c>
      <c r="J36" s="40" t="s">
        <v>25</v>
      </c>
      <c r="K36" s="41">
        <v>1.77</v>
      </c>
      <c r="L36" s="35"/>
    </row>
    <row r="37" spans="2:13" ht="16.5" customHeight="1" x14ac:dyDescent="0.25">
      <c r="B37" s="119" t="s">
        <v>3</v>
      </c>
      <c r="C37" s="120">
        <v>24.5</v>
      </c>
      <c r="D37" s="121"/>
      <c r="E37" s="30">
        <v>99.68</v>
      </c>
      <c r="F37" s="31">
        <f t="shared" si="2"/>
        <v>0</v>
      </c>
      <c r="G37" s="32">
        <f t="shared" si="3"/>
        <v>1.1099999999999994</v>
      </c>
      <c r="H37" s="31">
        <f t="shared" si="4"/>
        <v>0.37740000000000357</v>
      </c>
      <c r="J37" s="40" t="s">
        <v>77</v>
      </c>
      <c r="K37" s="42">
        <f>+K36/K34</f>
        <v>0.99999999999999423</v>
      </c>
      <c r="L37" s="35"/>
    </row>
    <row r="38" spans="2:13" ht="16.5" customHeight="1" x14ac:dyDescent="0.25">
      <c r="B38" s="119"/>
      <c r="C38" s="120">
        <v>24.73</v>
      </c>
      <c r="D38" s="121"/>
      <c r="E38" s="30">
        <v>99.8</v>
      </c>
      <c r="F38" s="31">
        <f t="shared" ref="F38" si="5">IF(E38&gt;0,IF(E38&lt;K$29,K$29-E38,0),0)</f>
        <v>0</v>
      </c>
      <c r="G38" s="32">
        <f t="shared" ref="G38" si="6">IF(E38&gt;0,IF(E38&lt;=K$29,C38-C37,0),0)</f>
        <v>0</v>
      </c>
      <c r="H38" s="31">
        <f t="shared" ref="H38" si="7">IF(E38&lt;=K$29,G38*(F37+F38)/2,0)</f>
        <v>0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44.14</v>
      </c>
      <c r="D39" s="121"/>
      <c r="E39" s="30">
        <v>99.61</v>
      </c>
      <c r="F39" s="31"/>
      <c r="G39" s="32"/>
      <c r="H39" s="31"/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1.8492176386913231E-3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5.1999999999999998E-2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16.611573033707881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1.0164961479407271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21.034537254046604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1.2457086069814789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0.11729469064146769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0.14611500568530622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9.5290877602758819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28.78161166882407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57.622950819672127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70.3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0.13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1.8492176386913231E-3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2.2560455192034141E-3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1.22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2020-02-19T23:49:27Z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