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3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 l="1"/>
  <c r="K29" i="81" l="1"/>
  <c r="K31" i="81"/>
  <c r="K40" i="81"/>
  <c r="G12" i="81"/>
  <c r="C20" i="73" s="1"/>
  <c r="G14" i="81"/>
  <c r="C22" i="73" s="1"/>
  <c r="G15" i="81"/>
  <c r="C23" i="73" s="1"/>
  <c r="L30" i="70"/>
  <c r="L23" i="70"/>
  <c r="M30" i="70"/>
  <c r="N30" i="70"/>
  <c r="U8" i="70"/>
  <c r="D41" i="73"/>
  <c r="D20" i="73"/>
  <c r="E20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36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D48" i="73" l="1"/>
  <c r="C48" i="73"/>
  <c r="F30" i="81"/>
  <c r="G31" i="81"/>
  <c r="G33" i="81"/>
  <c r="G36" i="81"/>
  <c r="H36" i="81" s="1"/>
  <c r="F38" i="81"/>
  <c r="F36" i="81"/>
  <c r="G30" i="81"/>
  <c r="H30" i="81" s="1"/>
  <c r="F32" i="81"/>
  <c r="F35" i="81"/>
  <c r="F37" i="81"/>
  <c r="G38" i="81"/>
  <c r="F33" i="81"/>
  <c r="H37" i="81"/>
  <c r="G32" i="81"/>
  <c r="F34" i="81"/>
  <c r="G35" i="81"/>
  <c r="G37" i="81"/>
  <c r="H38" i="81"/>
  <c r="F31" i="81"/>
  <c r="H31" i="81" s="1"/>
  <c r="G34" i="81"/>
  <c r="G39" i="81"/>
  <c r="F39" i="81"/>
  <c r="G7" i="81"/>
  <c r="C15" i="73" s="1"/>
  <c r="H39" i="81"/>
  <c r="H34" i="81" l="1"/>
  <c r="H33" i="81"/>
  <c r="H35" i="81"/>
  <c r="H32" i="81"/>
  <c r="K34" i="81"/>
  <c r="K37" i="81" s="1"/>
  <c r="G13" i="81" s="1"/>
  <c r="C21" i="73" s="1"/>
  <c r="G10" i="81" l="1"/>
  <c r="C18" i="73" s="1"/>
  <c r="K30" i="81"/>
  <c r="G6" i="81" s="1"/>
  <c r="C14" i="73" s="1"/>
  <c r="K32" i="81" l="1"/>
  <c r="K35" i="81" s="1"/>
  <c r="G11" i="81" s="1"/>
  <c r="C19" i="73" s="1"/>
  <c r="G8" i="81" l="1"/>
  <c r="C16" i="73" s="1"/>
  <c r="K33" i="81"/>
  <c r="G9" i="81" s="1"/>
  <c r="C17" i="73" s="1"/>
  <c r="K42" i="81"/>
  <c r="K43" i="81" s="1"/>
  <c r="K46" i="81" s="1"/>
  <c r="K48" i="81" s="1"/>
  <c r="G22" i="81" s="1"/>
  <c r="C29" i="73" s="1"/>
  <c r="K44" i="81"/>
  <c r="K45" i="81" s="1"/>
  <c r="G20" i="81" l="1"/>
  <c r="C27" i="73" s="1"/>
  <c r="K49" i="81"/>
  <c r="G23" i="81" s="1"/>
  <c r="C30" i="73" s="1"/>
  <c r="G19" i="81"/>
  <c r="C26" i="73" s="1"/>
  <c r="K47" i="81"/>
  <c r="G21" i="81" s="1"/>
  <c r="C28" i="73" s="1"/>
  <c r="G18" i="81"/>
  <c r="C25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<sst xmlns="http://schemas.openxmlformats.org/spreadsheetml/2006/main" count="172" uniqueCount="111">
  <si>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</si>
  <si>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</si>
  <si>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</si>
  <si>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</si>
  <si>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</si>
  <si>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</si>
  <si>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</si>
  <si>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</si>
  <si>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</si>
  <si>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</si>
  <si>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</si>
  <si>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</si>
  <si>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</si>
  <si>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</si>
  <si>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</si>
  <si>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</si>
  <si>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</si>
  <si>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</si>
  <si>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</si>
  <si>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</si>
  <si>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</si>
  <si>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</si>
  <si>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</si>
  <si>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</si>
  <si>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</si>
  <si>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</si>
  <si>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</si>
  <si>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</si>
  <si>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</si>
  <si>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</si>
  <si>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</si>
  <si>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</si>
  <si>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</si>
  <si>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</si>
  <si>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</si>
  <si>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</si>
  <si>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</si>
  <si>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</si>
  <si>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</si>
  <si>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</si>
  <si>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</si>
  <si>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</si>
  <si>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</si>
  <si>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</si>
  <si>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</si>
  <si>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</si>
  <si>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</si>
  <si>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</si>
  <si>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</si>
  <si>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</si>
  <si>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</si>
  <si>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</si>
  <si>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</si>
  <si>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</si>
  <si>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</si>
  <si>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</si>
  <si>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</si>
  <si>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</si>
  <si>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</si>
  <si>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</si>
  <si>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</si>
  <si>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</si>
  <si>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</si>
  <si>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</si>
  <si>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</si>
  <si>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</si>
  <si>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</si>
  <si>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</si>
  <si>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</si>
  <si>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</si>
  <si>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</si>
  <si>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</si>
  <si>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</si>
  <si>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</si>
  <si>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</si>
  <si>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</si>
  <si>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</si>
  <si>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</si>
  <si>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</si>
  <si>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</si>
  <si>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</si>
  <si>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</si>
  <si>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</si>
  <si>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</si>
  <si>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</si>
  <si>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</si>
  <si>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</si>
  <si>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</si>
  <si>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</si>
  <si>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</si>
  <si>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</si>
  <si>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</si>
  <si>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</si>
  <si>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</si>
  <si>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</si>
  <si>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</si>
  <si>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</si>
  <si>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</si>
  <si>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</si>
  <si>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</si>
  <si>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</si>
  <si>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</si>
  <si>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</si>
  <si>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</si>
  <si>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Juniper Bay, SCDNR Fish Site</t>
  </si>
  <si>
    <t>33.864485, -79.187739</t>
  </si>
  <si>
    <t>Juniper Bay</t>
  </si>
  <si>
    <t>sand</t>
  </si>
  <si>
    <t>&gt;131</t>
  </si>
  <si>
    <t>&gt;10.0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</si>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</sst>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11.85</c:v>
                </c:pt>
                <c:pt idx="2">
                  <c:v>14.04</c:v>
                </c:pt>
                <c:pt idx="3">
                  <c:v>18.03</c:v>
                </c:pt>
                <c:pt idx="4">
                  <c:v>22.1</c:v>
                </c:pt>
                <c:pt idx="5">
                  <c:v>23.98</c:v>
                </c:pt>
                <c:pt idx="6">
                  <c:v>24.65</c:v>
                </c:pt>
                <c:pt idx="7">
                  <c:v>24.9</c:v>
                </c:pt>
                <c:pt idx="8">
                  <c:v>25.28</c:v>
                </c:pt>
                <c:pt idx="9">
                  <c:v>28.93</c:v>
                </c:pt>
                <c:pt idx="10">
                  <c:v>55.9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99.55</c:v>
                </c:pt>
                <c:pt idx="1">
                  <c:v>99.63</c:v>
                </c:pt>
                <c:pt idx="2">
                  <c:v>98.26</c:v>
                </c:pt>
                <c:pt idx="3">
                  <c:v>97.97</c:v>
                </c:pt>
                <c:pt idx="4">
                  <c:v>98.57</c:v>
                </c:pt>
                <c:pt idx="5">
                  <c:v>99.02</c:v>
                </c:pt>
                <c:pt idx="6">
                  <c:v>99.5</c:v>
                </c:pt>
                <c:pt idx="7">
                  <c:v>99.63</c:v>
                </c:pt>
                <c:pt idx="8">
                  <c:v>99.9</c:v>
                </c:pt>
                <c:pt idx="9">
                  <c:v>99.73</c:v>
                </c:pt>
                <c:pt idx="10">
                  <c:v>99.73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3218120"/>
        <c:axId val="334169424"/>
      </c:scatterChart>
      <c:valAx>
        <c:axId val="333218120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4169424"/>
        <c:crosses val="autoZero"/>
        <c:crossBetween val="midCat"/>
      </c:valAx>
      <c:valAx>
        <c:axId val="33416942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3218120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4171776"/>
        <c:axId val="334176088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34171776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34176088"/>
        <c:crosses val="autoZero"/>
        <c:crossBetween val="midCat"/>
        <c:minorUnit val="25"/>
      </c:valAx>
      <c:valAx>
        <c:axId val="334176088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34171776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7" sqref="B7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43858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106</v>
      </c>
      <c r="D6" s="127"/>
      <c r="E6" s="128"/>
    </row>
    <row r="7" spans="2:5" ht="16.95" customHeight="1" x14ac:dyDescent="0.25">
      <c r="B7" s="15" t="s">
        <v>59</v>
      </c>
      <c r="C7" s="129" t="s">
        <v>110</v>
      </c>
      <c r="D7" s="130"/>
      <c r="E7" s="131"/>
    </row>
    <row r="8" spans="2:5" ht="16.95" customHeight="1" x14ac:dyDescent="0.25">
      <c r="B8" s="15" t="s">
        <v>21</v>
      </c>
      <c r="C8" s="132">
        <v>2.09</v>
      </c>
      <c r="D8" s="133"/>
      <c r="E8" s="134"/>
    </row>
    <row r="9" spans="2:5" ht="16.95" customHeight="1" x14ac:dyDescent="0.25">
      <c r="B9" s="15" t="s">
        <v>89</v>
      </c>
      <c r="C9" s="144" t="s">
        <v>107</v>
      </c>
      <c r="D9" s="145"/>
      <c r="E9" s="146"/>
    </row>
    <row r="10" spans="2:5" ht="16.95" customHeight="1" x14ac:dyDescent="0.25">
      <c r="B10" s="15" t="s">
        <v>52</v>
      </c>
      <c r="C10" s="138">
        <f>'Longitudinal Profile'!H9</f>
        <v>1.2965964343598054E-3</v>
      </c>
      <c r="D10" s="139"/>
      <c r="E10" s="140"/>
    </row>
    <row r="11" spans="2:5" ht="16.95" customHeight="1" x14ac:dyDescent="0.25">
      <c r="B11" s="15" t="s">
        <v>53</v>
      </c>
      <c r="C11" s="147">
        <f>'Longitudinal Profile'!H11</f>
        <v>1.06</v>
      </c>
      <c r="D11" s="148"/>
      <c r="E11" s="149"/>
    </row>
    <row r="12" spans="2:5" ht="16.95" customHeight="1" thickBot="1" x14ac:dyDescent="0.3">
      <c r="B12" s="15" t="s">
        <v>23</v>
      </c>
      <c r="C12" s="141">
        <f>'Longitudinal Profile'!H7</f>
        <v>123.4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14.914149999999962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13.049999999999999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1.1428467432950162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11.418853907195544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1.6599999999999966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1.4525132173137598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1.66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1.000000000000002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 t="str">
        <f>'Cross-section'!G14</f>
        <v>&gt;131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 t="str">
        <f>'Cross-section'!G15</f>
        <v>&gt;10.0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5" t="s">
        <v>54</v>
      </c>
      <c r="D24" s="156"/>
      <c r="E24" s="157"/>
    </row>
    <row r="25" spans="2:5" ht="16.95" customHeight="1" x14ac:dyDescent="0.25">
      <c r="B25" s="40" t="s">
        <v>80</v>
      </c>
      <c r="C25" s="122">
        <f>'Cross-section'!G18</f>
        <v>13.090672540508432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0.87773507310228649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7.8683650312468573E-2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6.9063399558969354E-2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6.3923047584329256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19.307287103909111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3" t="s">
        <v>17</v>
      </c>
      <c r="C31" s="150" t="s">
        <v>57</v>
      </c>
      <c r="D31" s="151"/>
      <c r="E31" s="152"/>
    </row>
    <row r="32" spans="2:5" ht="16.95" customHeight="1" thickBot="1" x14ac:dyDescent="0.3">
      <c r="B32" s="154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3" t="s">
        <v>17</v>
      </c>
      <c r="C39" s="150" t="s">
        <v>58</v>
      </c>
      <c r="D39" s="151"/>
      <c r="E39" s="152"/>
    </row>
    <row r="40" spans="2:5" ht="16.95" customHeight="1" thickBot="1" x14ac:dyDescent="0.3">
      <c r="B40" s="154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3" sqref="H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73" t="s">
        <v>71</v>
      </c>
      <c r="C6" s="174"/>
      <c r="D6" s="174"/>
      <c r="E6" s="174"/>
      <c r="F6" s="175"/>
      <c r="G6" s="161">
        <f>K30</f>
        <v>14.914149999999962</v>
      </c>
      <c r="H6" s="162"/>
      <c r="I6" s="163"/>
      <c r="K6" s="5"/>
      <c r="L6" s="5"/>
    </row>
    <row r="7" spans="2:12" ht="16.5" customHeight="1" x14ac:dyDescent="0.25">
      <c r="B7" s="173" t="s">
        <v>72</v>
      </c>
      <c r="C7" s="174"/>
      <c r="D7" s="174"/>
      <c r="E7" s="174"/>
      <c r="F7" s="175"/>
      <c r="G7" s="161">
        <f t="shared" ref="G7:G15" si="0">K31</f>
        <v>13.049999999999999</v>
      </c>
      <c r="H7" s="162"/>
      <c r="I7" s="163"/>
      <c r="J7" s="12"/>
      <c r="K7" s="5"/>
      <c r="L7" s="5"/>
    </row>
    <row r="8" spans="2:12" ht="16.5" customHeight="1" x14ac:dyDescent="0.25">
      <c r="B8" s="173" t="s">
        <v>73</v>
      </c>
      <c r="C8" s="174"/>
      <c r="D8" s="174"/>
      <c r="E8" s="174"/>
      <c r="F8" s="175"/>
      <c r="G8" s="161">
        <f t="shared" si="0"/>
        <v>1.1428467432950162</v>
      </c>
      <c r="H8" s="162"/>
      <c r="I8" s="163"/>
      <c r="J8" s="12"/>
      <c r="K8" s="5"/>
      <c r="L8" s="5"/>
    </row>
    <row r="9" spans="2:12" ht="16.5" customHeight="1" x14ac:dyDescent="0.25">
      <c r="B9" s="173" t="s">
        <v>74</v>
      </c>
      <c r="C9" s="174"/>
      <c r="D9" s="174"/>
      <c r="E9" s="174"/>
      <c r="F9" s="175"/>
      <c r="G9" s="161">
        <f t="shared" si="0"/>
        <v>11.418853907195544</v>
      </c>
      <c r="H9" s="162"/>
      <c r="I9" s="163"/>
      <c r="J9" s="12"/>
      <c r="K9" s="5"/>
      <c r="L9" s="5"/>
    </row>
    <row r="10" spans="2:12" ht="16.5" customHeight="1" x14ac:dyDescent="0.25">
      <c r="B10" s="173" t="s">
        <v>75</v>
      </c>
      <c r="C10" s="174"/>
      <c r="D10" s="174"/>
      <c r="E10" s="174"/>
      <c r="F10" s="175"/>
      <c r="G10" s="161">
        <f t="shared" si="0"/>
        <v>1.6599999999999966</v>
      </c>
      <c r="H10" s="162"/>
      <c r="I10" s="163"/>
      <c r="J10" s="12"/>
      <c r="K10" s="5"/>
      <c r="L10" s="5"/>
    </row>
    <row r="11" spans="2:12" ht="16.5" customHeight="1" x14ac:dyDescent="0.25">
      <c r="B11" s="173" t="s">
        <v>76</v>
      </c>
      <c r="C11" s="174"/>
      <c r="D11" s="174"/>
      <c r="E11" s="174"/>
      <c r="F11" s="175"/>
      <c r="G11" s="161">
        <f t="shared" si="0"/>
        <v>1.4525132173137598</v>
      </c>
      <c r="H11" s="162"/>
      <c r="I11" s="163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1">
        <f t="shared" si="0"/>
        <v>1.66</v>
      </c>
      <c r="H12" s="162"/>
      <c r="I12" s="163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1">
        <f t="shared" si="0"/>
        <v>1.000000000000002</v>
      </c>
      <c r="H13" s="162"/>
      <c r="I13" s="163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1" t="str">
        <f t="shared" si="0"/>
        <v>&gt;131</v>
      </c>
      <c r="H14" s="162"/>
      <c r="I14" s="163"/>
      <c r="J14" s="12"/>
      <c r="K14" s="5"/>
      <c r="L14" s="5"/>
    </row>
    <row r="15" spans="2:12" ht="16.5" customHeight="1" x14ac:dyDescent="0.25">
      <c r="B15" s="173" t="s">
        <v>79</v>
      </c>
      <c r="C15" s="174"/>
      <c r="D15" s="174"/>
      <c r="E15" s="174"/>
      <c r="F15" s="175"/>
      <c r="G15" s="161" t="str">
        <f t="shared" si="0"/>
        <v>&gt;10.0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73" t="s">
        <v>80</v>
      </c>
      <c r="C18" s="174"/>
      <c r="D18" s="174"/>
      <c r="E18" s="174"/>
      <c r="F18" s="175"/>
      <c r="G18" s="158">
        <f>K44</f>
        <v>13.090672540508432</v>
      </c>
      <c r="H18" s="159"/>
      <c r="I18" s="160"/>
      <c r="K18" s="5"/>
      <c r="L18" s="5"/>
    </row>
    <row r="19" spans="2:12" ht="16.5" customHeight="1" x14ac:dyDescent="0.25">
      <c r="B19" s="173" t="s">
        <v>81</v>
      </c>
      <c r="C19" s="174"/>
      <c r="D19" s="174"/>
      <c r="E19" s="174"/>
      <c r="F19" s="175"/>
      <c r="G19" s="122">
        <f t="shared" ref="G19:G23" si="1">K45</f>
        <v>0.87773507310228649</v>
      </c>
      <c r="H19" s="123"/>
      <c r="I19" s="124"/>
      <c r="K19" s="5"/>
      <c r="L19" s="5"/>
    </row>
    <row r="20" spans="2:12" ht="16.5" customHeight="1" x14ac:dyDescent="0.25">
      <c r="B20" s="173" t="s">
        <v>82</v>
      </c>
      <c r="C20" s="174"/>
      <c r="D20" s="174"/>
      <c r="E20" s="174"/>
      <c r="F20" s="175"/>
      <c r="G20" s="122">
        <f t="shared" si="1"/>
        <v>7.8683650312468573E-2</v>
      </c>
      <c r="H20" s="123"/>
      <c r="I20" s="124"/>
      <c r="J20" s="2"/>
      <c r="K20" s="5"/>
      <c r="L20" s="5"/>
    </row>
    <row r="21" spans="2:12" ht="16.5" customHeight="1" x14ac:dyDescent="0.25">
      <c r="B21" s="173" t="s">
        <v>49</v>
      </c>
      <c r="C21" s="174"/>
      <c r="D21" s="174"/>
      <c r="E21" s="174"/>
      <c r="F21" s="175"/>
      <c r="G21" s="122">
        <f t="shared" si="1"/>
        <v>6.9063399558969354E-2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8">
        <f t="shared" si="1"/>
        <v>6.3923047584329256</v>
      </c>
      <c r="H22" s="159"/>
      <c r="I22" s="160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8">
        <f t="shared" si="1"/>
        <v>19.307287103909111</v>
      </c>
      <c r="H23" s="159"/>
      <c r="I23" s="160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99.55</v>
      </c>
      <c r="F29" s="31"/>
      <c r="G29" s="32"/>
      <c r="H29" s="31"/>
      <c r="J29" s="33" t="s">
        <v>15</v>
      </c>
      <c r="K29" s="34">
        <f>LOOKUP("LBKF",B29:E51)</f>
        <v>99.63</v>
      </c>
      <c r="L29" s="35"/>
    </row>
    <row r="30" spans="2:12" ht="16.5" customHeight="1" x14ac:dyDescent="0.25">
      <c r="B30" s="119" t="s">
        <v>2</v>
      </c>
      <c r="C30" s="120">
        <v>11.85</v>
      </c>
      <c r="D30" s="121"/>
      <c r="E30" s="30">
        <v>99.63</v>
      </c>
      <c r="F30" s="31">
        <f t="shared" ref="F30:F38" si="2">IF(E30&gt;0,IF(E30&lt;K$29,K$29-E30,0),0)</f>
        <v>0</v>
      </c>
      <c r="G30" s="32">
        <f t="shared" ref="G30:G38" si="3">IF(E30&gt;0,IF(E30&lt;=K$29,C30-C29,0),0)</f>
        <v>11.85</v>
      </c>
      <c r="H30" s="31">
        <f t="shared" ref="H30:H38" si="4">IF(E30&lt;=K$29,G30*(F29+F30)/2,0)</f>
        <v>0</v>
      </c>
      <c r="J30" s="37" t="s">
        <v>71</v>
      </c>
      <c r="K30" s="11">
        <f>SUM(H29:H51)</f>
        <v>14.914149999999962</v>
      </c>
      <c r="L30" s="35"/>
    </row>
    <row r="31" spans="2:12" ht="16.5" customHeight="1" x14ac:dyDescent="0.25">
      <c r="B31" s="119"/>
      <c r="C31" s="120">
        <v>14.04</v>
      </c>
      <c r="D31" s="121"/>
      <c r="E31" s="30">
        <v>98.26</v>
      </c>
      <c r="F31" s="31">
        <f t="shared" si="2"/>
        <v>1.3699999999999903</v>
      </c>
      <c r="G31" s="32">
        <f t="shared" si="3"/>
        <v>2.1899999999999995</v>
      </c>
      <c r="H31" s="31">
        <f t="shared" si="4"/>
        <v>1.500149999999989</v>
      </c>
      <c r="J31" s="37" t="s">
        <v>72</v>
      </c>
      <c r="K31" s="11">
        <f>LOOKUP("RBKF",B29:C51)-LOOKUP("LBKF",B29:C51)</f>
        <v>13.049999999999999</v>
      </c>
      <c r="L31" s="35"/>
    </row>
    <row r="32" spans="2:12" ht="16.5" customHeight="1" x14ac:dyDescent="0.25">
      <c r="B32" s="119"/>
      <c r="C32" s="120">
        <v>18.03</v>
      </c>
      <c r="D32" s="121"/>
      <c r="E32" s="30">
        <v>97.97</v>
      </c>
      <c r="F32" s="31">
        <f t="shared" si="2"/>
        <v>1.6599999999999966</v>
      </c>
      <c r="G32" s="32">
        <f t="shared" si="3"/>
        <v>3.990000000000002</v>
      </c>
      <c r="H32" s="31">
        <f t="shared" si="4"/>
        <v>6.0448499999999772</v>
      </c>
      <c r="J32" s="37" t="s">
        <v>73</v>
      </c>
      <c r="K32" s="11">
        <f>K30/K31</f>
        <v>1.1428467432950162</v>
      </c>
      <c r="L32" s="35"/>
    </row>
    <row r="33" spans="2:13" ht="16.5" customHeight="1" x14ac:dyDescent="0.25">
      <c r="B33" s="119"/>
      <c r="C33" s="120">
        <v>22.1</v>
      </c>
      <c r="D33" s="121"/>
      <c r="E33" s="30">
        <v>98.57</v>
      </c>
      <c r="F33" s="31">
        <f t="shared" si="2"/>
        <v>1.0600000000000023</v>
      </c>
      <c r="G33" s="32">
        <f t="shared" si="3"/>
        <v>4.07</v>
      </c>
      <c r="H33" s="31">
        <f t="shared" si="4"/>
        <v>5.5351999999999979</v>
      </c>
      <c r="J33" s="37" t="s">
        <v>74</v>
      </c>
      <c r="K33" s="38">
        <f>K31/K32</f>
        <v>11.418853907195544</v>
      </c>
      <c r="L33" s="35"/>
    </row>
    <row r="34" spans="2:13" ht="16.5" customHeight="1" x14ac:dyDescent="0.25">
      <c r="B34" s="119"/>
      <c r="C34" s="120">
        <v>23.98</v>
      </c>
      <c r="D34" s="121"/>
      <c r="E34" s="30">
        <v>99.02</v>
      </c>
      <c r="F34" s="31">
        <f t="shared" si="2"/>
        <v>0.60999999999999943</v>
      </c>
      <c r="G34" s="32">
        <f t="shared" si="3"/>
        <v>1.879999999999999</v>
      </c>
      <c r="H34" s="31">
        <f t="shared" si="4"/>
        <v>1.5698000000000008</v>
      </c>
      <c r="J34" s="37" t="s">
        <v>75</v>
      </c>
      <c r="K34" s="11">
        <f>MAX(F29:F51)</f>
        <v>1.6599999999999966</v>
      </c>
      <c r="L34" s="35"/>
    </row>
    <row r="35" spans="2:13" ht="16.5" customHeight="1" x14ac:dyDescent="0.25">
      <c r="B35" s="119"/>
      <c r="C35" s="120">
        <v>24.65</v>
      </c>
      <c r="D35" s="121"/>
      <c r="E35" s="30">
        <v>99.5</v>
      </c>
      <c r="F35" s="31">
        <f t="shared" si="2"/>
        <v>0.12999999999999545</v>
      </c>
      <c r="G35" s="32">
        <f t="shared" si="3"/>
        <v>0.66999999999999815</v>
      </c>
      <c r="H35" s="31">
        <f t="shared" si="4"/>
        <v>0.24789999999999759</v>
      </c>
      <c r="J35" s="37" t="s">
        <v>76</v>
      </c>
      <c r="K35" s="39">
        <f>K34/K32</f>
        <v>1.4525132173137598</v>
      </c>
      <c r="L35" s="35"/>
    </row>
    <row r="36" spans="2:13" ht="16.5" customHeight="1" x14ac:dyDescent="0.25">
      <c r="B36" s="119" t="s">
        <v>3</v>
      </c>
      <c r="C36" s="120">
        <v>24.9</v>
      </c>
      <c r="D36" s="121"/>
      <c r="E36" s="30">
        <v>99.63</v>
      </c>
      <c r="F36" s="31">
        <f t="shared" si="2"/>
        <v>0</v>
      </c>
      <c r="G36" s="32">
        <f t="shared" si="3"/>
        <v>0.25</v>
      </c>
      <c r="H36" s="31">
        <f t="shared" si="4"/>
        <v>1.6249999999999432E-2</v>
      </c>
      <c r="J36" s="40" t="s">
        <v>25</v>
      </c>
      <c r="K36" s="41">
        <v>1.66</v>
      </c>
      <c r="L36" s="35"/>
    </row>
    <row r="37" spans="2:13" ht="16.5" customHeight="1" x14ac:dyDescent="0.25">
      <c r="B37" s="119"/>
      <c r="C37" s="120">
        <v>25.28</v>
      </c>
      <c r="D37" s="121"/>
      <c r="E37" s="30">
        <v>99.9</v>
      </c>
      <c r="F37" s="31">
        <f t="shared" si="2"/>
        <v>0</v>
      </c>
      <c r="G37" s="32">
        <f t="shared" si="3"/>
        <v>0</v>
      </c>
      <c r="H37" s="31">
        <f t="shared" si="4"/>
        <v>0</v>
      </c>
      <c r="J37" s="40" t="s">
        <v>77</v>
      </c>
      <c r="K37" s="42">
        <f>+K36/K34</f>
        <v>1.000000000000002</v>
      </c>
      <c r="L37" s="35"/>
    </row>
    <row r="38" spans="2:13" ht="16.5" customHeight="1" x14ac:dyDescent="0.25">
      <c r="B38" s="119"/>
      <c r="C38" s="120">
        <v>28.93</v>
      </c>
      <c r="D38" s="121"/>
      <c r="E38" s="30">
        <v>99.73</v>
      </c>
      <c r="F38" s="31">
        <f t="shared" si="2"/>
        <v>0</v>
      </c>
      <c r="G38" s="32">
        <f t="shared" si="3"/>
        <v>0</v>
      </c>
      <c r="H38" s="31">
        <f t="shared" si="4"/>
        <v>0</v>
      </c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>
        <v>55.9</v>
      </c>
      <c r="D39" s="121"/>
      <c r="E39" s="30">
        <v>99.73</v>
      </c>
      <c r="F39" s="31">
        <f t="shared" ref="F39" si="5">IF(E39&gt;0,IF(E39&lt;K$29,K$29-E39,0),0)</f>
        <v>0</v>
      </c>
      <c r="G39" s="32">
        <f t="shared" ref="G39" si="6">IF(E39&gt;0,IF(E39&lt;=K$29,C39-C38,0),0)</f>
        <v>0</v>
      </c>
      <c r="H39" s="31">
        <f t="shared" ref="H39" si="7">IF(E39&lt;=K$29,G39*(F38+F39)/2,0)</f>
        <v>0</v>
      </c>
      <c r="J39" s="37" t="s">
        <v>79</v>
      </c>
      <c r="K39" s="11" t="s">
        <v>109</v>
      </c>
      <c r="L39" s="35"/>
    </row>
    <row r="40" spans="2:13" ht="16.5" customHeight="1" x14ac:dyDescent="0.25">
      <c r="B40" s="119"/>
      <c r="C40" s="120"/>
      <c r="D40" s="121"/>
      <c r="E40" s="30"/>
      <c r="F40" s="31"/>
      <c r="G40" s="32"/>
      <c r="H40" s="31"/>
      <c r="J40" s="37" t="s">
        <v>8</v>
      </c>
      <c r="K40" s="108">
        <f>+'Longitudinal Profile'!$H$9</f>
        <v>1.2965964343598054E-3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0.06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15.335693486590031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0.97251226447902872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13.090672540508432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0.87773507310228649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7.8683650312468573E-2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6.9063399558969354E-2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6.3923047584329256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19.307287103909111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2" sqref="E2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116.41509433962264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123.4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0.16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1.2965964343598054E-3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1.3743922204213937E-3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1.06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2020-02-19T23:50:00Z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