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81" l="1"/>
  <c r="G33" i="81"/>
  <c r="H33" i="81" s="1"/>
  <c r="F34" i="81"/>
  <c r="G34" i="81"/>
  <c r="H34" i="81"/>
  <c r="F35" i="81"/>
  <c r="G35" i="81"/>
  <c r="H35" i="81"/>
  <c r="F36" i="81"/>
  <c r="G36" i="81"/>
  <c r="H36" i="81" s="1"/>
  <c r="F37" i="81"/>
  <c r="G37" i="81"/>
  <c r="H37" i="81" s="1"/>
  <c r="F38" i="81"/>
  <c r="G38" i="81"/>
  <c r="H38" i="81"/>
  <c r="F39" i="81"/>
  <c r="G39" i="81"/>
  <c r="H39" i="81"/>
  <c r="F40" i="81"/>
  <c r="H40" i="81" s="1"/>
  <c r="G40" i="81"/>
  <c r="F41" i="81"/>
  <c r="G41" i="81"/>
  <c r="H41" i="81" s="1"/>
  <c r="F42" i="81"/>
  <c r="G42" i="81"/>
  <c r="H42" i="81"/>
  <c r="F43" i="81"/>
  <c r="G43" i="81"/>
  <c r="H43" i="81"/>
  <c r="F44" i="81"/>
  <c r="H44" i="81" s="1"/>
  <c r="G44" i="81"/>
  <c r="F45" i="81"/>
  <c r="G45" i="81"/>
  <c r="H45" i="81" s="1"/>
  <c r="F46" i="81"/>
  <c r="G46" i="81"/>
  <c r="H46" i="81"/>
  <c r="F47" i="81"/>
  <c r="G47" i="81"/>
  <c r="H47" i="81"/>
  <c r="F48" i="81"/>
  <c r="G48" i="81"/>
  <c r="H48" i="81"/>
  <c r="F29" i="81"/>
  <c r="G29" i="81"/>
  <c r="H29" i="81"/>
  <c r="F30" i="81"/>
  <c r="G30" i="81"/>
  <c r="H30" i="81"/>
  <c r="F31" i="81"/>
  <c r="G31" i="81"/>
  <c r="H31" i="81"/>
  <c r="G12" i="81" l="1"/>
  <c r="G14" i="81"/>
  <c r="L30" i="70" l="1"/>
  <c r="L23" i="70" l="1"/>
  <c r="M30" i="70"/>
  <c r="N30" i="70" s="1"/>
  <c r="K31" i="81" l="1"/>
  <c r="G7" i="81" s="1"/>
  <c r="U8" i="70" l="1"/>
  <c r="D41" i="73" s="1"/>
  <c r="C20" i="73" l="1"/>
  <c r="D20" i="73"/>
  <c r="E20" i="73"/>
  <c r="C22" i="73"/>
  <c r="D22" i="73"/>
  <c r="E22" i="73"/>
  <c r="L16" i="70" l="1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U7" i="70"/>
  <c r="D45" i="73" s="1"/>
  <c r="V7" i="70"/>
  <c r="E45" i="73" s="1"/>
  <c r="T8" i="70"/>
  <c r="C41" i="73" s="1"/>
  <c r="V8" i="70"/>
  <c r="E41" i="73" s="1"/>
  <c r="K29" i="81"/>
  <c r="V11" i="70"/>
  <c r="U11" i="70"/>
  <c r="T11" i="70"/>
  <c r="V10" i="70"/>
  <c r="E47" i="73" s="1"/>
  <c r="U10" i="70"/>
  <c r="D47" i="73" s="1"/>
  <c r="T10" i="70"/>
  <c r="C47" i="73" s="1"/>
  <c r="V9" i="70"/>
  <c r="E43" i="73" s="1"/>
  <c r="U9" i="70"/>
  <c r="D43" i="73" s="1"/>
  <c r="T9" i="70"/>
  <c r="C43" i="73" s="1"/>
  <c r="I9" i="84"/>
  <c r="D37" i="73" s="1"/>
  <c r="H9" i="84"/>
  <c r="C37" i="73" s="1"/>
  <c r="J9" i="84"/>
  <c r="E37" i="73" s="1"/>
  <c r="J8" i="84"/>
  <c r="E35" i="73" s="1"/>
  <c r="I8" i="84"/>
  <c r="D35" i="73" s="1"/>
  <c r="H8" i="84"/>
  <c r="C35" i="73" s="1"/>
  <c r="J7" i="84"/>
  <c r="E33" i="73" s="1"/>
  <c r="I7" i="84"/>
  <c r="D33" i="73" s="1"/>
  <c r="H7" i="84"/>
  <c r="C33" i="73" s="1"/>
  <c r="F32" i="81" l="1"/>
  <c r="G32" i="81"/>
  <c r="H10" i="70"/>
  <c r="E15" i="73"/>
  <c r="C15" i="73"/>
  <c r="C11" i="73"/>
  <c r="C12" i="73"/>
  <c r="M23" i="70"/>
  <c r="N23" i="70" s="1"/>
  <c r="N29" i="70"/>
  <c r="M20" i="70"/>
  <c r="N20" i="70" s="1"/>
  <c r="N28" i="70"/>
  <c r="N25" i="70"/>
  <c r="M19" i="70"/>
  <c r="N19" i="70" s="1"/>
  <c r="N26" i="70"/>
  <c r="N27" i="70"/>
  <c r="N24" i="70"/>
  <c r="M22" i="70"/>
  <c r="N22" i="70" s="1"/>
  <c r="M21" i="70"/>
  <c r="N21" i="70" s="1"/>
  <c r="M17" i="70"/>
  <c r="N17" i="70" s="1"/>
  <c r="M18" i="70"/>
  <c r="N18" i="70" s="1"/>
  <c r="M16" i="70"/>
  <c r="N16" i="70" s="1"/>
  <c r="K39" i="81"/>
  <c r="G15" i="81" s="1"/>
  <c r="H32" i="81" l="1"/>
  <c r="K40" i="81"/>
  <c r="C10" i="73"/>
  <c r="D15" i="73"/>
  <c r="C36" i="73" s="1"/>
  <c r="C23" i="73"/>
  <c r="D23" i="73"/>
  <c r="E23" i="73"/>
  <c r="K34" i="81"/>
  <c r="G10" i="81" s="1"/>
  <c r="D34" i="73" l="1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K37" i="81"/>
  <c r="G13" i="81" s="1"/>
  <c r="D48" i="73"/>
  <c r="E48" i="73"/>
  <c r="C48" i="73"/>
  <c r="K30" i="81"/>
  <c r="G6" i="81" s="1"/>
  <c r="D21" i="73" l="1"/>
  <c r="E21" i="73"/>
  <c r="C21" i="73"/>
  <c r="C14" i="73"/>
  <c r="K32" i="81"/>
  <c r="K33" i="81" l="1"/>
  <c r="G9" i="81" s="1"/>
  <c r="C17" i="73" s="1"/>
  <c r="G8" i="81"/>
  <c r="C16" i="73" s="1"/>
  <c r="K35" i="81"/>
  <c r="G11" i="81" s="1"/>
  <c r="K42" i="81"/>
  <c r="K43" i="81" s="1"/>
  <c r="E16" i="73"/>
  <c r="D17" i="73"/>
  <c r="E17" i="73"/>
  <c r="E19" i="73" l="1"/>
  <c r="K46" i="81"/>
  <c r="D19" i="73"/>
  <c r="C19" i="73"/>
  <c r="D16" i="73"/>
  <c r="K45" i="81" l="1"/>
  <c r="G19" i="81" s="1"/>
  <c r="C26" i="73" s="1"/>
  <c r="G18" i="81"/>
  <c r="C25" i="73" s="1"/>
  <c r="K48" i="81"/>
  <c r="G22" i="81" s="1"/>
  <c r="C29" i="73" s="1"/>
  <c r="G20" i="81"/>
  <c r="C27" i="73" s="1"/>
  <c r="K49" i="81"/>
  <c r="E27" i="73"/>
  <c r="D27" i="73"/>
  <c r="E25" i="73"/>
  <c r="D25" i="73"/>
  <c r="E26" i="73"/>
  <c r="D26" i="73"/>
  <c r="D29" i="73"/>
  <c r="E29" i="73"/>
  <c r="K47" i="81" l="1"/>
  <c r="G21" i="81" s="1"/>
  <c r="C28" i="73" s="1"/>
  <c r="G23" i="81"/>
  <c r="C30" i="73" s="1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<sst xmlns="http://schemas.openxmlformats.org/spreadsheetml/2006/main" count="170" uniqueCount="109">
  <si>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</si>
  <si>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</si>
  <si>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</si>
  <si>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</si>
  <si>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</si>
  <si>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</si>
  <si>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</si>
  <si>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</si>
  <si>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</si>
  <si>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</si>
  <si>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</si>
  <si>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</si>
  <si>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</si>
  <si>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</si>
  <si>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</si>
  <si>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</si>
  <si>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</si>
  <si>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</si>
  <si>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</si>
  <si>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</si>
  <si>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</si>
  <si>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</si>
  <si>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</si>
  <si>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</si>
  <si>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</si>
  <si>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</si>
  <si>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</si>
  <si>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</si>
  <si>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</si>
  <si>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</si>
  <si>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</si>
  <si>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</si>
  <si>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</si>
  <si>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</si>
  <si>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</si>
  <si>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</si>
  <si>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</si>
  <si>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</si>
  <si>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</si>
  <si>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</si>
  <si>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</si>
  <si>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</si>
  <si>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</si>
  <si>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</si>
  <si>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</si>
  <si>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</si>
  <si>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</si>
  <si>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</si>
  <si>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</si>
  <si>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</si>
  <si>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</si>
  <si>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</si>
  <si>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</si>
  <si>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</si>
  <si>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</si>
  <si>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</si>
  <si>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</si>
  <si>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</si>
  <si>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</si>
  <si>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</si>
  <si>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</si>
  <si>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</si>
  <si>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</si>
  <si>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</si>
  <si>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</si>
  <si>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</si>
  <si>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</si>
  <si>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</si>
  <si>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</si>
  <si>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</si>
  <si>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</si>
  <si>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</si>
  <si>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</si>
  <si>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</si>
  <si>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</si>
  <si>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</si>
  <si>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</si>
  <si>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</si>
  <si>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</si>
  <si>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</si>
  <si>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</si>
  <si>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</si>
  <si>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</si>
  <si>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</si>
  <si>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</si>
  <si>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</si>
  <si>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</si>
  <si>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</si>
  <si>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</si>
  <si>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</si>
  <si>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</si>
  <si>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</si>
  <si>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</si>
  <si>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</si>
  <si>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</si>
  <si>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</si>
  <si>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</si>
  <si>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</si>
  <si>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</si>
  <si>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</si>
  <si>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</si>
  <si>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</si>
  <si>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</si>
  <si>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</si>
  <si>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E5</t>
  </si>
  <si>
    <t>Allison Creek, USGS Gage</t>
  </si>
  <si>
    <t>35.065105, -81.138798</t>
  </si>
  <si>
    <t>Allison Creek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</si>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</sst>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11.61</c:v>
                </c:pt>
                <c:pt idx="1">
                  <c:v>47.59</c:v>
                </c:pt>
                <c:pt idx="2">
                  <c:v>91.56</c:v>
                </c:pt>
                <c:pt idx="3">
                  <c:v>93.3</c:v>
                </c:pt>
                <c:pt idx="4">
                  <c:v>96.25</c:v>
                </c:pt>
                <c:pt idx="5">
                  <c:v>97.45</c:v>
                </c:pt>
                <c:pt idx="6">
                  <c:v>101.89</c:v>
                </c:pt>
                <c:pt idx="7">
                  <c:v>103.36</c:v>
                </c:pt>
                <c:pt idx="8">
                  <c:v>109.87</c:v>
                </c:pt>
                <c:pt idx="9">
                  <c:v>120.5</c:v>
                </c:pt>
                <c:pt idx="10">
                  <c:v>127.39</c:v>
                </c:pt>
                <c:pt idx="11">
                  <c:v>131.54</c:v>
                </c:pt>
                <c:pt idx="12">
                  <c:v>133.38</c:v>
                </c:pt>
                <c:pt idx="13">
                  <c:v>136.12</c:v>
                </c:pt>
                <c:pt idx="14">
                  <c:v>137.87</c:v>
                </c:pt>
                <c:pt idx="15">
                  <c:v>139.06</c:v>
                </c:pt>
                <c:pt idx="16">
                  <c:v>140.15</c:v>
                </c:pt>
                <c:pt idx="17">
                  <c:v>142.15</c:v>
                </c:pt>
                <c:pt idx="18">
                  <c:v>148.08000000000001</c:v>
                </c:pt>
                <c:pt idx="19">
                  <c:v>188.52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114.49</c:v>
                </c:pt>
                <c:pt idx="1">
                  <c:v>106.94</c:v>
                </c:pt>
                <c:pt idx="2">
                  <c:v>106.89</c:v>
                </c:pt>
                <c:pt idx="3">
                  <c:v>106.14</c:v>
                </c:pt>
                <c:pt idx="4">
                  <c:v>104.81</c:v>
                </c:pt>
                <c:pt idx="5">
                  <c:v>104.18</c:v>
                </c:pt>
                <c:pt idx="6">
                  <c:v>101.96</c:v>
                </c:pt>
                <c:pt idx="7">
                  <c:v>99.89</c:v>
                </c:pt>
                <c:pt idx="8">
                  <c:v>99.76</c:v>
                </c:pt>
                <c:pt idx="9">
                  <c:v>99.43</c:v>
                </c:pt>
                <c:pt idx="10">
                  <c:v>99.08</c:v>
                </c:pt>
                <c:pt idx="11">
                  <c:v>99.77</c:v>
                </c:pt>
                <c:pt idx="12">
                  <c:v>100.28</c:v>
                </c:pt>
                <c:pt idx="13">
                  <c:v>100.69</c:v>
                </c:pt>
                <c:pt idx="14">
                  <c:v>102.91</c:v>
                </c:pt>
                <c:pt idx="15">
                  <c:v>104.85</c:v>
                </c:pt>
                <c:pt idx="16">
                  <c:v>105.35</c:v>
                </c:pt>
                <c:pt idx="17">
                  <c:v>106.14</c:v>
                </c:pt>
                <c:pt idx="18">
                  <c:v>106.88</c:v>
                </c:pt>
                <c:pt idx="19">
                  <c:v>108.25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73640"/>
        <c:axId val="93977560"/>
      </c:scatterChart>
      <c:valAx>
        <c:axId val="939736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977560"/>
        <c:crosses val="autoZero"/>
        <c:crossBetween val="midCat"/>
      </c:valAx>
      <c:valAx>
        <c:axId val="939775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97364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76384"/>
        <c:axId val="939728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9397638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3972856"/>
        <c:crosses val="autoZero"/>
        <c:crossBetween val="midCat"/>
        <c:minorUnit val="25"/>
      </c:valAx>
      <c:valAx>
        <c:axId val="939728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9397638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10" sqref="C10:E10"/>
    </sheetView>
  </sheetViews>
  <sheetFormatPr defaultColWidth="14" defaultRowHeight="16.95" customHeight="1" x14ac:dyDescent="0.2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6.95" customHeight="1" x14ac:dyDescent="0.25">
      <c r="B1" s="109" t="s">
        <v>105</v>
      </c>
      <c r="C1" s="110">
        <v>43791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8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107</v>
      </c>
      <c r="D6" s="127"/>
      <c r="E6" s="128"/>
    </row>
    <row r="7" spans="2:5" ht="16.95" customHeight="1" x14ac:dyDescent="0.25">
      <c r="B7" s="15" t="s">
        <v>59</v>
      </c>
      <c r="C7" s="129" t="s">
        <v>104</v>
      </c>
      <c r="D7" s="130"/>
      <c r="E7" s="131"/>
    </row>
    <row r="8" spans="2:5" ht="16.95" customHeight="1" x14ac:dyDescent="0.25">
      <c r="B8" s="15" t="s">
        <v>21</v>
      </c>
      <c r="C8" s="132">
        <v>40.4</v>
      </c>
      <c r="D8" s="133"/>
      <c r="E8" s="134"/>
    </row>
    <row r="9" spans="2:5" ht="16.95" customHeight="1" x14ac:dyDescent="0.25">
      <c r="B9" s="15" t="s">
        <v>89</v>
      </c>
      <c r="C9" s="132" t="s">
        <v>108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1.4499999999999999E-3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1.07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0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250.17579999999998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48.850000000000009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5.1213060388945744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9.5385824688079381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7.0600000000000023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1.3785546004049958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7.8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1.1048158640226624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>
        <f>'Cross-section'!G14</f>
        <v>192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>
        <f>'Cross-section'!G15</f>
        <v>3.9303991811668366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855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3.4175967459682353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0.38305814530930238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1.3091382709256991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31.11986283418684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93.99428673691898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1">
        <f>+'Longitudinal Profile'!T10</f>
        <v>0</v>
      </c>
      <c r="D47" s="61" t="e">
        <f>+'Longitudinal Profile'!U10</f>
        <v>#NUM!</v>
      </c>
      <c r="E47" s="61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zoomScaleNormal="100" workbookViewId="0">
      <selection activeCell="G27" sqref="G27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250.17579999999998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48.850000000000009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5.1213060388945744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9.5385824688079381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7.0600000000000023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1.3785546004049958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7.8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1.1048158640226624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>
        <f t="shared" si="0"/>
        <v>192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>
        <f t="shared" si="0"/>
        <v>3.9303991811668366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855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3.4175967459682353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0.38305814530930238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1.3091382709256991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31.11986283418684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93.99428673691898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11.61</v>
      </c>
      <c r="D29" s="121"/>
      <c r="E29" s="30">
        <v>114.49</v>
      </c>
      <c r="F29" s="31">
        <f t="shared" ref="F29:F31" si="2">IF(E29&gt;0,IF(E29&lt;K$29,K$29-E29,0),0)</f>
        <v>0</v>
      </c>
      <c r="G29" s="32">
        <f t="shared" ref="G29:G31" si="3">IF(E29&gt;0,IF(E29&lt;=K$29,C29-C28,0),0)</f>
        <v>0</v>
      </c>
      <c r="H29" s="31">
        <f t="shared" ref="H29:H31" si="4">IF(E29&lt;=K$29,G29*(F28+F29)/2,0)</f>
        <v>0</v>
      </c>
      <c r="J29" s="33" t="s">
        <v>15</v>
      </c>
      <c r="K29" s="34">
        <f>LOOKUP("LBKF",B29:E47)</f>
        <v>106.14</v>
      </c>
      <c r="L29" s="35"/>
    </row>
    <row r="30" spans="2:12" ht="16.5" customHeight="1" x14ac:dyDescent="0.25">
      <c r="B30" s="119"/>
      <c r="C30" s="120">
        <v>47.59</v>
      </c>
      <c r="D30" s="121"/>
      <c r="E30" s="30">
        <v>106.94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SUM(H29:H47)</f>
        <v>250.17579999999998</v>
      </c>
      <c r="L30" s="35"/>
    </row>
    <row r="31" spans="2:12" ht="16.5" customHeight="1" x14ac:dyDescent="0.25">
      <c r="B31" s="119"/>
      <c r="C31" s="120">
        <v>91.56</v>
      </c>
      <c r="D31" s="121"/>
      <c r="E31" s="30">
        <v>106.89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LOOKUP("RBKF",B29:C47)-LOOKUP("LBKF",B29:C47)</f>
        <v>48.850000000000009</v>
      </c>
      <c r="L31" s="35"/>
    </row>
    <row r="32" spans="2:12" ht="16.5" customHeight="1" x14ac:dyDescent="0.25">
      <c r="B32" s="119" t="s">
        <v>2</v>
      </c>
      <c r="C32" s="120">
        <v>93.3</v>
      </c>
      <c r="D32" s="121"/>
      <c r="E32" s="30">
        <v>106.14</v>
      </c>
      <c r="F32" s="31">
        <f t="shared" ref="F32" si="5">IF(E32&gt;0,IF(E32&lt;K$29,K$29-E32,0),0)</f>
        <v>0</v>
      </c>
      <c r="G32" s="32">
        <f t="shared" ref="G32" si="6">IF(E32&gt;0,IF(E32&lt;=K$29,C32-C31,0),0)</f>
        <v>1.7399999999999949</v>
      </c>
      <c r="H32" s="31">
        <f t="shared" ref="H32" si="7">IF(E32&lt;=K$29,G32*(F31+F32)/2,0)</f>
        <v>0</v>
      </c>
      <c r="J32" s="37" t="s">
        <v>73</v>
      </c>
      <c r="K32" s="11">
        <f>K30/K31</f>
        <v>5.1213060388945744</v>
      </c>
      <c r="L32" s="35"/>
    </row>
    <row r="33" spans="2:13" ht="16.5" customHeight="1" x14ac:dyDescent="0.25">
      <c r="B33" s="119"/>
      <c r="C33" s="120">
        <v>96.25</v>
      </c>
      <c r="D33" s="121"/>
      <c r="E33" s="30">
        <v>104.81</v>
      </c>
      <c r="F33" s="31">
        <f t="shared" ref="F33:F48" si="8">IF(E33&gt;0,IF(E33&lt;K$29,K$29-E33,0),0)</f>
        <v>1.3299999999999983</v>
      </c>
      <c r="G33" s="32">
        <f t="shared" ref="G33:G48" si="9">IF(E33&gt;0,IF(E33&lt;=K$29,C33-C32,0),0)</f>
        <v>2.9500000000000028</v>
      </c>
      <c r="H33" s="31">
        <f t="shared" ref="H33:H48" si="10">IF(E33&lt;=K$29,G33*(F32+F33)/2,0)</f>
        <v>1.9617499999999994</v>
      </c>
      <c r="J33" s="37" t="s">
        <v>74</v>
      </c>
      <c r="K33" s="38">
        <f>K31/K32</f>
        <v>9.5385824688079381</v>
      </c>
      <c r="L33" s="35"/>
    </row>
    <row r="34" spans="2:13" ht="16.5" customHeight="1" x14ac:dyDescent="0.25">
      <c r="B34" s="119"/>
      <c r="C34" s="120">
        <v>97.45</v>
      </c>
      <c r="D34" s="121"/>
      <c r="E34" s="30">
        <v>104.18</v>
      </c>
      <c r="F34" s="31">
        <f t="shared" si="8"/>
        <v>1.9599999999999937</v>
      </c>
      <c r="G34" s="32">
        <f t="shared" si="9"/>
        <v>1.2000000000000028</v>
      </c>
      <c r="H34" s="31">
        <f t="shared" si="10"/>
        <v>1.974</v>
      </c>
      <c r="J34" s="37" t="s">
        <v>75</v>
      </c>
      <c r="K34" s="11">
        <f>MAX(F29:F47)</f>
        <v>7.0600000000000023</v>
      </c>
      <c r="L34" s="35"/>
    </row>
    <row r="35" spans="2:13" ht="16.5" customHeight="1" x14ac:dyDescent="0.25">
      <c r="B35" s="119"/>
      <c r="C35" s="120">
        <v>101.89</v>
      </c>
      <c r="D35" s="121"/>
      <c r="E35" s="30">
        <v>101.96</v>
      </c>
      <c r="F35" s="31">
        <f t="shared" si="8"/>
        <v>4.1800000000000068</v>
      </c>
      <c r="G35" s="32">
        <f t="shared" si="9"/>
        <v>4.4399999999999977</v>
      </c>
      <c r="H35" s="31">
        <f t="shared" si="10"/>
        <v>13.630799999999994</v>
      </c>
      <c r="J35" s="37" t="s">
        <v>76</v>
      </c>
      <c r="K35" s="39">
        <f>K34/K32</f>
        <v>1.3785546004049958</v>
      </c>
      <c r="L35" s="35"/>
    </row>
    <row r="36" spans="2:13" ht="16.5" customHeight="1" x14ac:dyDescent="0.25">
      <c r="B36" s="119"/>
      <c r="C36" s="120">
        <v>103.36</v>
      </c>
      <c r="D36" s="121"/>
      <c r="E36" s="30">
        <v>99.89</v>
      </c>
      <c r="F36" s="31">
        <f t="shared" si="8"/>
        <v>6.25</v>
      </c>
      <c r="G36" s="32">
        <f t="shared" si="9"/>
        <v>1.4699999999999989</v>
      </c>
      <c r="H36" s="31">
        <f t="shared" si="10"/>
        <v>7.6660499999999994</v>
      </c>
      <c r="J36" s="40" t="s">
        <v>25</v>
      </c>
      <c r="K36" s="41">
        <v>7.8</v>
      </c>
      <c r="L36" s="35"/>
    </row>
    <row r="37" spans="2:13" ht="16.5" customHeight="1" x14ac:dyDescent="0.25">
      <c r="B37" s="119"/>
      <c r="C37" s="120">
        <v>109.87</v>
      </c>
      <c r="D37" s="121"/>
      <c r="E37" s="30">
        <v>99.76</v>
      </c>
      <c r="F37" s="31">
        <f t="shared" si="8"/>
        <v>6.3799999999999955</v>
      </c>
      <c r="G37" s="32">
        <f t="shared" si="9"/>
        <v>6.5100000000000051</v>
      </c>
      <c r="H37" s="31">
        <f t="shared" si="10"/>
        <v>41.110650000000021</v>
      </c>
      <c r="J37" s="40" t="s">
        <v>77</v>
      </c>
      <c r="K37" s="42">
        <f>+K36/K34</f>
        <v>1.1048158640226624</v>
      </c>
      <c r="L37" s="35"/>
    </row>
    <row r="38" spans="2:13" ht="16.5" customHeight="1" x14ac:dyDescent="0.25">
      <c r="B38" s="119"/>
      <c r="C38" s="120">
        <v>120.5</v>
      </c>
      <c r="D38" s="121"/>
      <c r="E38" s="30">
        <v>99.43</v>
      </c>
      <c r="F38" s="31">
        <f t="shared" si="8"/>
        <v>6.7099999999999937</v>
      </c>
      <c r="G38" s="32">
        <f t="shared" si="9"/>
        <v>10.629999999999995</v>
      </c>
      <c r="H38" s="31">
        <f t="shared" si="10"/>
        <v>69.57334999999992</v>
      </c>
      <c r="J38" s="43" t="s">
        <v>78</v>
      </c>
      <c r="K38" s="44">
        <v>192</v>
      </c>
      <c r="L38" s="35"/>
    </row>
    <row r="39" spans="2:13" ht="16.5" customHeight="1" x14ac:dyDescent="0.25">
      <c r="B39" s="119"/>
      <c r="C39" s="120">
        <v>127.39</v>
      </c>
      <c r="D39" s="121"/>
      <c r="E39" s="30">
        <v>99.08</v>
      </c>
      <c r="F39" s="31">
        <f t="shared" si="8"/>
        <v>7.0600000000000023</v>
      </c>
      <c r="G39" s="32">
        <f t="shared" si="9"/>
        <v>6.8900000000000006</v>
      </c>
      <c r="H39" s="31">
        <f t="shared" si="10"/>
        <v>47.437649999999991</v>
      </c>
      <c r="J39" s="37" t="s">
        <v>79</v>
      </c>
      <c r="K39" s="11">
        <f>K38/K31</f>
        <v>3.9303991811668366</v>
      </c>
      <c r="L39" s="35"/>
    </row>
    <row r="40" spans="2:13" ht="16.5" customHeight="1" x14ac:dyDescent="0.25">
      <c r="B40" s="119"/>
      <c r="C40" s="120">
        <v>131.54</v>
      </c>
      <c r="D40" s="121"/>
      <c r="E40" s="30">
        <v>99.77</v>
      </c>
      <c r="F40" s="31">
        <f t="shared" si="8"/>
        <v>6.3700000000000045</v>
      </c>
      <c r="G40" s="32">
        <f t="shared" si="9"/>
        <v>4.1499999999999915</v>
      </c>
      <c r="H40" s="31">
        <f t="shared" si="10"/>
        <v>27.867249999999956</v>
      </c>
      <c r="J40" s="37" t="s">
        <v>8</v>
      </c>
      <c r="K40" s="108">
        <f>+'Longitudinal Profile'!$H$9</f>
        <v>1.4499999999999999E-3</v>
      </c>
      <c r="L40" s="45"/>
    </row>
    <row r="41" spans="2:13" ht="16.5" customHeight="1" x14ac:dyDescent="0.25">
      <c r="B41" s="119"/>
      <c r="C41" s="120">
        <v>133.38</v>
      </c>
      <c r="D41" s="121"/>
      <c r="E41" s="30">
        <v>100.28</v>
      </c>
      <c r="F41" s="31">
        <f t="shared" si="8"/>
        <v>5.8599999999999994</v>
      </c>
      <c r="G41" s="32">
        <f t="shared" si="9"/>
        <v>1.8400000000000034</v>
      </c>
      <c r="H41" s="31">
        <f t="shared" si="10"/>
        <v>11.251600000000025</v>
      </c>
      <c r="J41" s="37" t="s">
        <v>10</v>
      </c>
      <c r="K41" s="46"/>
      <c r="L41" s="45"/>
    </row>
    <row r="42" spans="2:13" ht="16.5" customHeight="1" x14ac:dyDescent="0.25">
      <c r="B42" s="119"/>
      <c r="C42" s="120">
        <v>136.12</v>
      </c>
      <c r="D42" s="121"/>
      <c r="E42" s="30">
        <v>100.69</v>
      </c>
      <c r="F42" s="31">
        <f t="shared" si="8"/>
        <v>5.4500000000000028</v>
      </c>
      <c r="G42" s="32">
        <f t="shared" si="9"/>
        <v>2.7400000000000091</v>
      </c>
      <c r="H42" s="31">
        <f t="shared" si="10"/>
        <v>15.494700000000055</v>
      </c>
      <c r="J42" s="37" t="s">
        <v>27</v>
      </c>
      <c r="K42" s="14">
        <f>K31+2*K32</f>
        <v>59.092612077789155</v>
      </c>
      <c r="L42" s="47"/>
      <c r="M42" s="47"/>
    </row>
    <row r="43" spans="2:13" ht="16.5" customHeight="1" x14ac:dyDescent="0.25">
      <c r="B43" s="119"/>
      <c r="C43" s="120">
        <v>137.87</v>
      </c>
      <c r="D43" s="121"/>
      <c r="E43" s="30">
        <v>102.91</v>
      </c>
      <c r="F43" s="31">
        <f t="shared" si="8"/>
        <v>3.230000000000004</v>
      </c>
      <c r="G43" s="32">
        <f t="shared" si="9"/>
        <v>1.75</v>
      </c>
      <c r="H43" s="31">
        <f t="shared" si="10"/>
        <v>7.595000000000006</v>
      </c>
      <c r="J43" s="37" t="s">
        <v>9</v>
      </c>
      <c r="K43" s="14">
        <f>K30/K42</f>
        <v>4.233622295637737</v>
      </c>
      <c r="L43" s="47"/>
      <c r="M43" s="47"/>
    </row>
    <row r="44" spans="2:13" ht="16.5" customHeight="1" x14ac:dyDescent="0.25">
      <c r="B44" s="119"/>
      <c r="C44" s="120">
        <v>139.06</v>
      </c>
      <c r="D44" s="121"/>
      <c r="E44" s="30">
        <v>104.85</v>
      </c>
      <c r="F44" s="31">
        <f t="shared" si="8"/>
        <v>1.2900000000000063</v>
      </c>
      <c r="G44" s="32">
        <f t="shared" si="9"/>
        <v>1.1899999999999977</v>
      </c>
      <c r="H44" s="31">
        <f t="shared" si="10"/>
        <v>2.6894000000000009</v>
      </c>
      <c r="J44" s="37" t="s">
        <v>80</v>
      </c>
      <c r="K44" s="14">
        <v>855</v>
      </c>
    </row>
    <row r="45" spans="2:13" ht="16.5" customHeight="1" x14ac:dyDescent="0.25">
      <c r="B45" s="119"/>
      <c r="C45" s="120">
        <v>140.15</v>
      </c>
      <c r="D45" s="121"/>
      <c r="E45" s="30">
        <v>105.35</v>
      </c>
      <c r="F45" s="31">
        <f t="shared" si="8"/>
        <v>0.79000000000000625</v>
      </c>
      <c r="G45" s="32">
        <f t="shared" si="9"/>
        <v>1.0900000000000034</v>
      </c>
      <c r="H45" s="31">
        <f t="shared" si="10"/>
        <v>1.1336000000000104</v>
      </c>
      <c r="J45" s="37" t="s">
        <v>81</v>
      </c>
      <c r="K45" s="14">
        <f>K44/K30</f>
        <v>3.4175967459682353</v>
      </c>
    </row>
    <row r="46" spans="2:13" ht="16.5" customHeight="1" x14ac:dyDescent="0.25">
      <c r="B46" s="119" t="s">
        <v>3</v>
      </c>
      <c r="C46" s="120">
        <v>142.15</v>
      </c>
      <c r="D46" s="121"/>
      <c r="E46" s="30">
        <v>106.14</v>
      </c>
      <c r="F46" s="31">
        <f t="shared" si="8"/>
        <v>0</v>
      </c>
      <c r="G46" s="32">
        <f t="shared" si="9"/>
        <v>2</v>
      </c>
      <c r="H46" s="31">
        <f t="shared" si="10"/>
        <v>0.79000000000000625</v>
      </c>
      <c r="J46" s="37" t="s">
        <v>82</v>
      </c>
      <c r="K46" s="42">
        <f>62.4*K43*K40</f>
        <v>0.38305814530930238</v>
      </c>
    </row>
    <row r="47" spans="2:13" ht="16.5" customHeight="1" x14ac:dyDescent="0.25">
      <c r="B47" s="119"/>
      <c r="C47" s="120">
        <v>148.08000000000001</v>
      </c>
      <c r="D47" s="121"/>
      <c r="E47" s="30">
        <v>106.88</v>
      </c>
      <c r="F47" s="31">
        <f t="shared" si="8"/>
        <v>0</v>
      </c>
      <c r="G47" s="32">
        <f t="shared" si="9"/>
        <v>0</v>
      </c>
      <c r="H47" s="31">
        <f t="shared" si="10"/>
        <v>0</v>
      </c>
      <c r="J47" s="37" t="s">
        <v>49</v>
      </c>
      <c r="K47" s="42">
        <f>K46*K45</f>
        <v>1.3091382709256991</v>
      </c>
    </row>
    <row r="48" spans="2:13" ht="16.5" customHeight="1" x14ac:dyDescent="0.25">
      <c r="B48" s="119"/>
      <c r="C48" s="120">
        <v>188.52</v>
      </c>
      <c r="D48" s="121"/>
      <c r="E48" s="30">
        <v>108.25</v>
      </c>
      <c r="F48" s="31">
        <f t="shared" si="8"/>
        <v>0</v>
      </c>
      <c r="G48" s="32">
        <f t="shared" si="9"/>
        <v>0</v>
      </c>
      <c r="H48" s="31">
        <f t="shared" si="10"/>
        <v>0</v>
      </c>
      <c r="J48" s="15" t="s">
        <v>55</v>
      </c>
      <c r="K48" s="48">
        <f>77.966*(K46*1.042)</f>
        <v>31.11986283418684</v>
      </c>
    </row>
    <row r="49" spans="10:11" ht="16.5" customHeight="1" x14ac:dyDescent="0.25">
      <c r="J49" s="15" t="s">
        <v>56</v>
      </c>
      <c r="K49" s="48">
        <f>253.7*(K46*0.9672)</f>
        <v>93.99428673691898</v>
      </c>
    </row>
    <row r="50" spans="10:11" ht="16.5" customHeight="1" x14ac:dyDescent="0.25">
      <c r="J50" s="2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2" customWidth="1"/>
    <col min="2" max="3" width="11.33203125" style="62"/>
    <col min="4" max="4" width="11.33203125" style="62" customWidth="1"/>
    <col min="5" max="5" width="11.44140625" style="62" customWidth="1"/>
    <col min="6" max="6" width="12.44140625" style="62" customWidth="1"/>
    <col min="7" max="7" width="12.77734375" style="62" customWidth="1"/>
    <col min="8" max="8" width="11.77734375" style="62" customWidth="1"/>
    <col min="9" max="9" width="12.109375" style="62" customWidth="1"/>
    <col min="10" max="11" width="13" style="62" customWidth="1"/>
    <col min="12" max="12" width="13.109375" style="62" customWidth="1"/>
    <col min="13" max="13" width="11.109375" style="62" customWidth="1"/>
    <col min="14" max="14" width="9.33203125" style="62" customWidth="1"/>
    <col min="15" max="15" width="11.44140625" style="62" customWidth="1"/>
    <col min="16" max="16" width="11.33203125" style="62"/>
    <col min="17" max="17" width="10.33203125" style="62" customWidth="1"/>
    <col min="18" max="18" width="10.109375" style="62" customWidth="1"/>
    <col min="19" max="20" width="10.6640625" style="62" customWidth="1"/>
    <col min="21" max="16384" width="11.33203125" style="62"/>
  </cols>
  <sheetData>
    <row r="2" spans="2:22" ht="16.5" customHeight="1" x14ac:dyDescent="0.3">
      <c r="B2" s="50" t="s">
        <v>24</v>
      </c>
      <c r="C2" s="2"/>
      <c r="D2" s="51"/>
      <c r="I2" s="63"/>
    </row>
    <row r="3" spans="2:22" ht="16.5" customHeight="1" x14ac:dyDescent="0.3">
      <c r="B3" s="7" t="s">
        <v>14</v>
      </c>
      <c r="C3" s="64"/>
      <c r="D3" s="65"/>
      <c r="I3" s="54"/>
    </row>
    <row r="4" spans="2:22" ht="16.5" customHeight="1" x14ac:dyDescent="0.3">
      <c r="I4" s="66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0" t="s">
        <v>12</v>
      </c>
      <c r="C6" s="71"/>
      <c r="D6" s="72"/>
      <c r="F6" s="178" t="s">
        <v>28</v>
      </c>
      <c r="G6" s="179"/>
      <c r="H6" s="73"/>
      <c r="I6" s="69"/>
      <c r="J6" s="177"/>
      <c r="K6" s="177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2"/>
      <c r="F7" s="75" t="s">
        <v>29</v>
      </c>
      <c r="G7" s="76"/>
      <c r="H7" s="39"/>
      <c r="I7" s="66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/>
      <c r="I8" s="52"/>
      <c r="J8" s="59" t="s">
        <v>83</v>
      </c>
      <c r="K8" s="59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v>1.4499999999999999E-3</v>
      </c>
      <c r="I9" s="53"/>
      <c r="J9" s="59" t="s">
        <v>22</v>
      </c>
      <c r="K9" s="59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1.5514999999999999E-3</v>
      </c>
      <c r="I10" s="80"/>
      <c r="J10" s="59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49"/>
      <c r="D11" s="49"/>
      <c r="F11" s="173" t="s">
        <v>33</v>
      </c>
      <c r="G11" s="174"/>
      <c r="H11" s="31">
        <v>1.07</v>
      </c>
      <c r="I11" s="80"/>
      <c r="J11" s="59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49"/>
      <c r="D12" s="49"/>
      <c r="I12" s="80"/>
      <c r="J12" s="53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49"/>
      <c r="D13" s="49"/>
      <c r="E13" s="85"/>
      <c r="F13" s="85"/>
      <c r="G13" s="66"/>
      <c r="H13" s="53"/>
      <c r="I13" s="80"/>
      <c r="J13" s="53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5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5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5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5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5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5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5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5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5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5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5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5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5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5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5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5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5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5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5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5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5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5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5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5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5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5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G17" sqref="G17"/>
    </sheetView>
  </sheetViews>
  <sheetFormatPr defaultColWidth="7.6640625" defaultRowHeight="16.5" customHeight="1" x14ac:dyDescent="0.25"/>
  <cols>
    <col min="1" max="1" width="3.33203125" style="57" customWidth="1"/>
    <col min="2" max="2" width="31.6640625" style="57" customWidth="1"/>
    <col min="3" max="7" width="7.6640625" style="57" customWidth="1"/>
    <col min="8" max="16384" width="7.6640625" style="57"/>
  </cols>
  <sheetData>
    <row r="2" spans="2:10" ht="16.5" customHeight="1" x14ac:dyDescent="0.25">
      <c r="B2" s="50" t="s">
        <v>103</v>
      </c>
      <c r="C2" s="2"/>
      <c r="D2" s="51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8"/>
      <c r="F4" s="58"/>
      <c r="G4" s="58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2"/>
      <c r="C16" s="62"/>
      <c r="D16" s="62"/>
      <c r="E16" s="62"/>
      <c r="F16" s="62"/>
      <c r="G16" s="62"/>
    </row>
    <row r="17" spans="2:13" ht="16.5" customHeight="1" x14ac:dyDescent="0.3">
      <c r="B17" s="62"/>
      <c r="C17" s="62"/>
      <c r="D17" s="62"/>
      <c r="E17" s="62"/>
      <c r="F17" s="62"/>
      <c r="G17" s="62"/>
    </row>
    <row r="21" spans="2:13" s="56" customFormat="1" ht="16.5" customHeight="1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2:13" s="56" customFormat="1" ht="16.5" customHeight="1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2:13" s="56" customFormat="1" ht="16.5" customHeight="1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13" s="56" customFormat="1" ht="16.5" customHeight="1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2:13" s="56" customFormat="1" ht="16.5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2:13" s="56" customFormat="1" ht="16.5" customHeight="1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2:13" s="56" customFormat="1" ht="16.5" customHeight="1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3" s="56" customFormat="1" ht="16.5" customHeight="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2:13" s="56" customFormat="1" ht="16.5" customHeight="1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2:13" s="56" customFormat="1" ht="16.5" customHeight="1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s="56" customFormat="1" ht="16.5" customHeight="1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3" s="56" customFormat="1" ht="16.5" customHeight="1" x14ac:dyDescent="0.2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13" s="56" customFormat="1" ht="16.5" customHeight="1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s="56" customFormat="1" ht="16.5" customHeight="1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2:13" s="56" customFormat="1" ht="16.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2:13" s="56" customFormat="1" ht="16.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2:13" s="56" customFormat="1" ht="16.5" customHeight="1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2:13" s="56" customFormat="1" ht="16.5" customHeight="1" x14ac:dyDescent="0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2:13" s="56" customFormat="1" ht="16.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2:13" s="56" customFormat="1" ht="16.5" customHeight="1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2:13" s="56" customFormat="1" ht="16.5" customHeigh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2:13" s="56" customFormat="1" ht="16.5" customHeight="1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13" s="56" customFormat="1" ht="16.5" customHeight="1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2:13" s="56" customFormat="1" ht="16.5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3" s="56" customFormat="1" ht="16.5" customHeight="1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3" s="56" customFormat="1" ht="16.5" customHeight="1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2:13" s="56" customFormat="1" ht="16.5" customHeight="1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s="56" customFormat="1" ht="16.5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3" s="56" customFormat="1" ht="16.5" customHeigh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3" s="56" customFormat="1" ht="16.5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3" s="56" customFormat="1" ht="16.5" customHeight="1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3" s="56" customFormat="1" ht="16.5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3" s="56" customFormat="1" ht="16.5" customHeight="1" x14ac:dyDescent="0.2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3" s="56" customFormat="1" ht="16.5" customHeight="1" x14ac:dyDescent="0.2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3" s="56" customFormat="1" ht="16.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3" s="56" customFormat="1" ht="16.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3" s="56" customFormat="1" ht="16.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2:13" s="56" customFormat="1" ht="16.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s="56" customFormat="1" ht="16.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s="56" customFormat="1" ht="16.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2:13" s="56" customFormat="1" ht="16.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2:13" s="56" customFormat="1" ht="16.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2:13" s="56" customFormat="1" ht="16.5" customHeight="1" x14ac:dyDescent="0.2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2:13" s="56" customFormat="1" ht="16.5" customHeight="1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3" s="56" customFormat="1" ht="16.5" customHeight="1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2:13" s="56" customFormat="1" ht="16.5" customHeight="1" x14ac:dyDescent="0.2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2:13" s="56" customFormat="1" ht="16.5" customHeight="1" x14ac:dyDescent="0.2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2:13" s="56" customFormat="1" ht="16.5" customHeight="1" x14ac:dyDescent="0.2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2:13" s="56" customFormat="1" ht="16.5" customHeight="1" x14ac:dyDescent="0.2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2:13" s="56" customFormat="1" ht="16.5" customHeight="1" x14ac:dyDescent="0.2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2:13" s="56" customFormat="1" ht="16.5" customHeight="1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2:13" s="56" customFormat="1" ht="16.5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2:13" s="56" customFormat="1" ht="16.5" customHeigh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2:13" s="56" customFormat="1" ht="16.5" customHeight="1" x14ac:dyDescent="0.2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2:13" s="56" customFormat="1" ht="16.5" customHeigh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3" s="56" customFormat="1" ht="16.5" customHeight="1" x14ac:dyDescent="0.2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2:13" s="56" customFormat="1" ht="16.5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2:13" s="56" customFormat="1" ht="16.5" customHeight="1" x14ac:dyDescent="0.2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2:13" s="56" customFormat="1" ht="16.5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2:13" s="56" customFormat="1" ht="16.5" customHeight="1" x14ac:dyDescent="0.2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2:13" s="56" customFormat="1" ht="16.5" customHeight="1" x14ac:dyDescent="0.2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2:13" s="56" customFormat="1" ht="16.5" customHeight="1" x14ac:dyDescent="0.2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s="56" customFormat="1" ht="16.5" customHeigh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2:13" s="56" customFormat="1" ht="16.5" customHeight="1" x14ac:dyDescent="0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s="56" customFormat="1" ht="16.5" customHeight="1" x14ac:dyDescent="0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2:13" s="56" customFormat="1" ht="16.5" customHeight="1" x14ac:dyDescent="0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2:13" s="56" customFormat="1" ht="16.5" customHeight="1" x14ac:dyDescent="0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2:13" s="56" customFormat="1" ht="16.5" customHeight="1" x14ac:dyDescent="0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2:13" s="56" customFormat="1" ht="16.5" customHeight="1" x14ac:dyDescent="0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2:13" s="56" customFormat="1" ht="16.5" customHeight="1" x14ac:dyDescent="0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2:13" s="56" customFormat="1" ht="16.5" customHeight="1" x14ac:dyDescent="0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2:13" s="56" customFormat="1" ht="16.5" customHeight="1" x14ac:dyDescent="0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2:13" s="56" customFormat="1" ht="16.5" customHeight="1" x14ac:dyDescent="0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2:13" s="56" customFormat="1" ht="16.5" customHeigh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2:13" s="56" customFormat="1" ht="16.5" customHeight="1" x14ac:dyDescent="0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2:13" s="56" customFormat="1" ht="16.5" customHeight="1" x14ac:dyDescent="0.2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2:13" s="56" customFormat="1" ht="16.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2:13" s="56" customFormat="1" ht="16.5" customHeight="1" x14ac:dyDescent="0.2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2:13" s="56" customFormat="1" ht="16.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2:13" s="56" customFormat="1" ht="16.5" customHeight="1" x14ac:dyDescent="0.2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2:13" s="56" customFormat="1" ht="16.5" customHeight="1" x14ac:dyDescent="0.2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2:13" s="56" customFormat="1" ht="16.5" customHeight="1" x14ac:dyDescent="0.2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2:13" s="56" customFormat="1" ht="16.5" customHeight="1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2:13" s="56" customFormat="1" ht="16.5" customHeight="1" x14ac:dyDescent="0.2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2:13" s="56" customFormat="1" ht="16.5" customHeigh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2:13" s="56" customFormat="1" ht="16.5" customHeight="1" x14ac:dyDescent="0.2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2:13" s="56" customFormat="1" ht="16.5" customHeight="1" x14ac:dyDescent="0.2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2:13" s="56" customFormat="1" ht="16.5" customHeight="1" x14ac:dyDescent="0.2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2:13" s="56" customFormat="1" ht="16.5" customHeight="1" x14ac:dyDescent="0.2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2:13" s="56" customFormat="1" ht="16.5" customHeight="1" x14ac:dyDescent="0.2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2:13" s="56" customFormat="1" ht="16.5" customHeight="1" x14ac:dyDescent="0.2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2:13" s="56" customFormat="1" ht="16.5" customHeight="1" x14ac:dyDescent="0.2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2:13" s="56" customFormat="1" ht="16.5" customHeight="1" x14ac:dyDescent="0.2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2:13" s="56" customFormat="1" ht="16.5" customHeight="1" x14ac:dyDescent="0.2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2:13" s="56" customFormat="1" ht="16.5" customHeight="1" x14ac:dyDescent="0.25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2:13" s="56" customFormat="1" ht="16.5" customHeight="1" x14ac:dyDescent="0.25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2:13" s="56" customFormat="1" ht="16.5" customHeight="1" x14ac:dyDescent="0.25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2:13" s="56" customFormat="1" ht="16.5" customHeight="1" x14ac:dyDescent="0.2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2:13" s="56" customFormat="1" ht="16.5" customHeight="1" x14ac:dyDescent="0.2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2:13" s="56" customFormat="1" ht="16.5" customHeight="1" x14ac:dyDescent="0.25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2:13" s="56" customFormat="1" ht="16.5" customHeight="1" x14ac:dyDescent="0.25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2:13" s="56" customFormat="1" ht="16.5" customHeight="1" x14ac:dyDescent="0.25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2:13" s="56" customFormat="1" ht="16.5" customHeight="1" x14ac:dyDescent="0.2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2:13" s="56" customFormat="1" ht="16.5" customHeight="1" x14ac:dyDescent="0.2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2:13" s="56" customFormat="1" ht="16.5" customHeight="1" x14ac:dyDescent="0.2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2:13" s="56" customFormat="1" ht="16.5" customHeight="1" x14ac:dyDescent="0.2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2:13" s="56" customFormat="1" ht="16.5" customHeight="1" x14ac:dyDescent="0.2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2:13" s="56" customFormat="1" ht="16.5" customHeight="1" x14ac:dyDescent="0.2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2:13" s="56" customFormat="1" ht="16.5" customHeight="1" x14ac:dyDescent="0.2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2:13" s="56" customFormat="1" ht="16.5" customHeight="1" x14ac:dyDescent="0.2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2:13" s="56" customFormat="1" ht="16.5" customHeight="1" x14ac:dyDescent="0.2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2:13" s="56" customFormat="1" ht="16.5" customHeight="1" x14ac:dyDescent="0.2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2:13" s="56" customFormat="1" ht="16.5" customHeight="1" x14ac:dyDescent="0.2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2:13" s="56" customFormat="1" ht="16.5" customHeight="1" x14ac:dyDescent="0.2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2:13" s="56" customFormat="1" ht="16.5" customHeight="1" x14ac:dyDescent="0.2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2:13" s="56" customFormat="1" ht="16.5" customHeight="1" x14ac:dyDescent="0.2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2:13" s="56" customFormat="1" ht="16.5" customHeight="1" x14ac:dyDescent="0.2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2:13" s="56" customFormat="1" ht="16.5" customHeight="1" x14ac:dyDescent="0.2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2:13" s="56" customFormat="1" ht="16.5" customHeight="1" x14ac:dyDescent="0.2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2:13" s="56" customFormat="1" ht="16.5" customHeight="1" x14ac:dyDescent="0.2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2:13" s="56" customFormat="1" ht="16.5" customHeight="1" x14ac:dyDescent="0.2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2:13" s="56" customFormat="1" ht="16.5" customHeight="1" x14ac:dyDescent="0.2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2:13" s="56" customFormat="1" ht="16.5" customHeight="1" x14ac:dyDescent="0.2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2:13" s="56" customFormat="1" ht="16.5" customHeight="1" x14ac:dyDescent="0.2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2:13" s="56" customFormat="1" ht="16.5" customHeight="1" x14ac:dyDescent="0.2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2:13" s="56" customFormat="1" ht="16.5" customHeight="1" x14ac:dyDescent="0.2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2:13" s="56" customFormat="1" ht="16.5" customHeight="1" x14ac:dyDescent="0.2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2:13" s="56" customFormat="1" ht="16.5" customHeight="1" x14ac:dyDescent="0.2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2:13" s="56" customFormat="1" ht="16.5" customHeight="1" x14ac:dyDescent="0.2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2:13" s="56" customFormat="1" ht="16.5" customHeight="1" x14ac:dyDescent="0.2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2:13" s="56" customFormat="1" ht="16.5" customHeight="1" x14ac:dyDescent="0.2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2:13" s="56" customFormat="1" ht="16.5" customHeight="1" x14ac:dyDescent="0.2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2:13" s="56" customFormat="1" ht="16.5" customHeight="1" x14ac:dyDescent="0.2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2:13" s="56" customFormat="1" ht="16.5" customHeight="1" x14ac:dyDescent="0.2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2:13" s="56" customFormat="1" ht="16.5" customHeight="1" x14ac:dyDescent="0.2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2:13" s="56" customFormat="1" ht="16.5" customHeight="1" x14ac:dyDescent="0.2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2:13" s="56" customFormat="1" ht="16.5" customHeight="1" x14ac:dyDescent="0.2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2:13" s="56" customFormat="1" ht="16.5" customHeight="1" x14ac:dyDescent="0.2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2:13" s="56" customFormat="1" ht="16.5" customHeight="1" x14ac:dyDescent="0.2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2:13" s="56" customFormat="1" ht="16.5" customHeight="1" x14ac:dyDescent="0.2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2:13" s="56" customFormat="1" ht="16.5" customHeight="1" x14ac:dyDescent="0.2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2:13" s="56" customFormat="1" ht="16.5" customHeight="1" x14ac:dyDescent="0.2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2:13" s="56" customFormat="1" ht="16.5" customHeight="1" x14ac:dyDescent="0.2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2:13" s="56" customFormat="1" ht="16.5" customHeight="1" x14ac:dyDescent="0.2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2:13" s="56" customFormat="1" ht="16.5" customHeight="1" x14ac:dyDescent="0.2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2:13" s="56" customFormat="1" ht="16.5" customHeight="1" x14ac:dyDescent="0.2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2:13" s="56" customFormat="1" ht="16.5" customHeight="1" x14ac:dyDescent="0.2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2:13" s="56" customFormat="1" ht="16.5" customHeight="1" x14ac:dyDescent="0.2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2:13" s="56" customFormat="1" ht="16.5" customHeight="1" x14ac:dyDescent="0.2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2:13" s="56" customFormat="1" ht="16.5" customHeight="1" x14ac:dyDescent="0.2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2:13" s="56" customFormat="1" ht="16.5" customHeight="1" x14ac:dyDescent="0.2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2:13" s="56" customFormat="1" ht="16.5" customHeight="1" x14ac:dyDescent="0.2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2:13" s="56" customFormat="1" ht="16.5" customHeight="1" x14ac:dyDescent="0.2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2:13" s="56" customFormat="1" ht="16.5" customHeight="1" x14ac:dyDescent="0.2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2:13" s="56" customFormat="1" ht="16.5" customHeight="1" x14ac:dyDescent="0.2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2:13" s="56" customFormat="1" ht="16.5" customHeight="1" x14ac:dyDescent="0.2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2:13" s="56" customFormat="1" ht="16.5" customHeight="1" x14ac:dyDescent="0.2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2:13" s="56" customFormat="1" ht="16.5" customHeight="1" x14ac:dyDescent="0.2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2:13" s="56" customFormat="1" ht="16.5" customHeight="1" x14ac:dyDescent="0.2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2:13" s="56" customFormat="1" ht="16.5" customHeight="1" x14ac:dyDescent="0.2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2:13" s="56" customFormat="1" ht="16.5" customHeight="1" x14ac:dyDescent="0.2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2:13" s="56" customFormat="1" ht="16.5" customHeight="1" x14ac:dyDescent="0.2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2:13" s="56" customFormat="1" ht="16.5" customHeight="1" x14ac:dyDescent="0.2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2:13" s="56" customFormat="1" ht="16.5" customHeight="1" x14ac:dyDescent="0.25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2:13" s="56" customFormat="1" ht="16.5" customHeight="1" x14ac:dyDescent="0.25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2:13" s="56" customFormat="1" ht="16.5" customHeight="1" x14ac:dyDescent="0.25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2:13" s="56" customFormat="1" ht="16.5" customHeight="1" x14ac:dyDescent="0.25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2:13" s="56" customFormat="1" ht="16.5" customHeight="1" x14ac:dyDescent="0.25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2:13" s="56" customFormat="1" ht="16.5" customHeight="1" x14ac:dyDescent="0.25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2:13" s="56" customFormat="1" ht="16.5" customHeight="1" x14ac:dyDescent="0.25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2:13" s="56" customFormat="1" ht="16.5" customHeight="1" x14ac:dyDescent="0.25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2:13" s="56" customFormat="1" ht="16.5" customHeight="1" x14ac:dyDescent="0.25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2:13" s="56" customFormat="1" ht="16.5" customHeight="1" x14ac:dyDescent="0.25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2:13" s="56" customFormat="1" ht="16.5" customHeight="1" x14ac:dyDescent="0.25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2:13" s="56" customFormat="1" ht="16.5" customHeight="1" x14ac:dyDescent="0.25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2:13" s="56" customFormat="1" ht="16.5" customHeight="1" x14ac:dyDescent="0.25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2:13" s="56" customFormat="1" ht="16.5" customHeight="1" x14ac:dyDescent="0.25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2:13" s="56" customFormat="1" ht="16.5" customHeight="1" x14ac:dyDescent="0.25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2:13" s="56" customFormat="1" ht="16.5" customHeight="1" x14ac:dyDescent="0.25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2:13" s="56" customFormat="1" ht="16.5" customHeight="1" x14ac:dyDescent="0.25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2:13" s="56" customFormat="1" ht="16.5" customHeight="1" x14ac:dyDescent="0.25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2:13" s="56" customFormat="1" ht="16.5" customHeight="1" x14ac:dyDescent="0.25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2:13" s="56" customFormat="1" ht="16.5" customHeight="1" x14ac:dyDescent="0.25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2:13" s="56" customFormat="1" ht="16.5" customHeight="1" x14ac:dyDescent="0.25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2:13" s="56" customFormat="1" ht="16.5" customHeight="1" x14ac:dyDescent="0.25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2:13" s="56" customFormat="1" ht="16.5" customHeight="1" x14ac:dyDescent="0.25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2:13" s="56" customFormat="1" ht="16.5" customHeight="1" x14ac:dyDescent="0.25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2:13" s="56" customFormat="1" ht="16.5" customHeight="1" x14ac:dyDescent="0.25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2:13" s="56" customFormat="1" ht="16.5" customHeight="1" x14ac:dyDescent="0.25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2:13" s="56" customFormat="1" ht="16.5" customHeight="1" x14ac:dyDescent="0.25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2:13" s="56" customFormat="1" ht="16.5" customHeight="1" x14ac:dyDescent="0.2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2:13" s="56" customFormat="1" ht="16.5" customHeight="1" x14ac:dyDescent="0.25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2:13" s="56" customFormat="1" ht="16.5" customHeight="1" x14ac:dyDescent="0.25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2:13" s="56" customFormat="1" ht="16.5" customHeight="1" x14ac:dyDescent="0.25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2:13" s="56" customFormat="1" ht="16.5" customHeight="1" x14ac:dyDescent="0.25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2:13" s="56" customFormat="1" ht="16.5" customHeight="1" x14ac:dyDescent="0.2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2:13" s="56" customFormat="1" ht="16.5" customHeight="1" x14ac:dyDescent="0.25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2:13" s="56" customFormat="1" ht="16.5" customHeight="1" x14ac:dyDescent="0.25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2:13" s="56" customFormat="1" ht="16.5" customHeight="1" x14ac:dyDescent="0.25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</row>
    <row r="220" spans="2:13" s="56" customFormat="1" ht="16.5" customHeight="1" x14ac:dyDescent="0.25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2:13" s="56" customFormat="1" ht="16.5" customHeight="1" x14ac:dyDescent="0.25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2:13" s="56" customFormat="1" ht="16.5" customHeight="1" x14ac:dyDescent="0.25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2:13" s="56" customFormat="1" ht="16.5" customHeight="1" x14ac:dyDescent="0.25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2:13" s="56" customFormat="1" ht="16.5" customHeight="1" x14ac:dyDescent="0.25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2:13" s="56" customFormat="1" ht="16.5" customHeight="1" x14ac:dyDescent="0.25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2:13" s="56" customFormat="1" ht="16.5" customHeight="1" x14ac:dyDescent="0.25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2:13" s="56" customFormat="1" ht="16.5" customHeight="1" x14ac:dyDescent="0.25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2:13" s="56" customFormat="1" ht="16.5" customHeight="1" x14ac:dyDescent="0.25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2:13" s="56" customFormat="1" ht="16.5" customHeight="1" x14ac:dyDescent="0.25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2:13" s="56" customFormat="1" ht="16.5" customHeight="1" x14ac:dyDescent="0.25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