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4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81" l="1"/>
  <c r="G32" i="81"/>
  <c r="H32" i="81"/>
  <c r="F33" i="81"/>
  <c r="G33" i="81"/>
  <c r="H33" i="81"/>
  <c r="F34" i="81"/>
  <c r="G34" i="81"/>
  <c r="H34" i="81"/>
  <c r="F35" i="81"/>
  <c r="G35" i="81"/>
  <c r="H35" i="81"/>
  <c r="F36" i="81"/>
  <c r="G36" i="81"/>
  <c r="H36" i="81"/>
  <c r="F37" i="81"/>
  <c r="G37" i="81"/>
  <c r="H37" i="81"/>
  <c r="F38" i="81"/>
  <c r="G38" i="81"/>
  <c r="H38" i="81"/>
  <c r="F39" i="81"/>
  <c r="G39" i="81"/>
  <c r="H39" i="81"/>
  <c r="F40" i="81"/>
  <c r="G40" i="81"/>
  <c r="H40" i="81"/>
  <c r="F41" i="81"/>
  <c r="G41" i="81"/>
  <c r="H41" i="81"/>
  <c r="F42" i="81"/>
  <c r="G42" i="81"/>
  <c r="H42" i="81"/>
  <c r="F43" i="81"/>
  <c r="G43" i="81"/>
  <c r="H43" i="81"/>
  <c r="F29" i="81"/>
  <c r="G29" i="81"/>
  <c r="H29" i="81"/>
  <c r="F30" i="81"/>
  <c r="G30" i="81"/>
  <c r="H30" i="81"/>
  <c r="K29" i="81"/>
  <c r="H10" i="70"/>
  <c r="G31" i="81"/>
  <c r="F31" i="81"/>
  <c r="H31" i="81"/>
  <c r="K30" i="81"/>
  <c r="K31" i="81"/>
  <c r="K32" i="81"/>
  <c r="K42" i="81"/>
  <c r="K43" i="81"/>
  <c r="K40" i="81"/>
  <c r="K45" i="81"/>
  <c r="G19" i="81"/>
  <c r="K46" i="81"/>
  <c r="G20" i="81"/>
  <c r="K47" i="81"/>
  <c r="G21" i="81"/>
  <c r="K48" i="81"/>
  <c r="G22" i="81"/>
  <c r="K49" i="81"/>
  <c r="G23" i="81"/>
  <c r="G18" i="81"/>
  <c r="G7" i="81"/>
  <c r="G8" i="81"/>
  <c r="K33" i="81"/>
  <c r="G9" i="81"/>
  <c r="K34" i="81"/>
  <c r="G10" i="81"/>
  <c r="K35" i="81"/>
  <c r="G11" i="81"/>
  <c r="G12" i="81"/>
  <c r="K37" i="81"/>
  <c r="G13" i="81"/>
  <c r="G14" i="81"/>
  <c r="K39" i="81"/>
  <c r="G15" i="81"/>
  <c r="G6" i="81"/>
  <c r="C7" i="70"/>
  <c r="L30" i="70"/>
  <c r="D7" i="70"/>
  <c r="L23" i="70"/>
  <c r="C6" i="70"/>
  <c r="M30" i="70"/>
  <c r="N30" i="70"/>
  <c r="D6" i="70"/>
  <c r="U8" i="70"/>
  <c r="D41" i="73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D15" i="73"/>
  <c r="C36" i="73"/>
  <c r="C23" i="73"/>
  <c r="D23" i="73"/>
  <c r="E23" i="73"/>
  <c r="D34" i="73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C18" i="73"/>
  <c r="D48" i="73"/>
  <c r="E48" i="73"/>
  <c r="C48" i="73"/>
  <c r="D21" i="73"/>
  <c r="E21" i="73"/>
  <c r="C21" i="73"/>
  <c r="C14" i="73"/>
  <c r="C16" i="73"/>
  <c r="E16" i="73"/>
  <c r="D17" i="73"/>
  <c r="E17" i="73"/>
  <c r="C17" i="73"/>
  <c r="E19" i="73"/>
  <c r="D19" i="73"/>
  <c r="C19" i="73"/>
  <c r="D16" i="73"/>
  <c r="C26" i="73"/>
  <c r="C30" i="73"/>
  <c r="E27" i="73"/>
  <c r="D27" i="73"/>
  <c r="E25" i="73"/>
  <c r="D25" i="73"/>
  <c r="E26" i="73"/>
  <c r="D26" i="73"/>
  <c r="D29" i="73"/>
  <c r="E29" i="73"/>
  <c r="C27" i="73"/>
  <c r="C28" i="73"/>
  <c r="C25" i="73"/>
  <c r="C29" i="73"/>
  <c r="E30" i="73"/>
  <c r="D30" i="73"/>
  <c r="E28" i="73"/>
  <c r="D28" i="73"/>
</calcChain>
</file>

<file path=xl/sharedStrings.xml><?xml version="1.0" encoding="utf-8"?>
<sst xmlns="http://schemas.openxmlformats.org/spreadsheetml/2006/main" count="170" uniqueCount="109">
  <si>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</si>
  <si>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</si>
  <si>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</si>
  <si>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</si>
  <si>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</si>
  <si>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</si>
  <si>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</si>
  <si>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</si>
  <si>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</si>
  <si>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</si>
  <si>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</si>
  <si>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</si>
  <si>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</si>
  <si>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</si>
  <si>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</si>
  <si>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</si>
  <si>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</si>
  <si>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</si>
  <si>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</si>
  <si>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</si>
  <si>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</si>
  <si>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</si>
  <si>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</si>
  <si>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</si>
  <si>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</si>
  <si>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</si>
  <si>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</si>
  <si>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</si>
  <si>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</si>
  <si>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</si>
  <si>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</si>
  <si>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</si>
  <si>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</si>
  <si>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</si>
  <si>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</si>
  <si>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</si>
  <si>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</si>
  <si>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</si>
  <si>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</si>
  <si>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</si>
  <si>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</si>
  <si>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</si>
  <si>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</si>
  <si>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</si>
  <si>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</si>
  <si>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</si>
  <si>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</si>
  <si>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</si>
  <si>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</si>
  <si>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</si>
  <si>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</si>
  <si>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</si>
  <si>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</si>
  <si>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</si>
  <si>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</si>
  <si>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</si>
  <si>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</si>
  <si>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</si>
  <si>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</si>
  <si>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</si>
  <si>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</si>
  <si>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</si>
  <si>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</si>
  <si>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</si>
  <si>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</si>
  <si>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</si>
  <si>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</si>
  <si>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</si>
  <si>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</si>
  <si>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</si>
  <si>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</si>
  <si>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</si>
  <si>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</si>
  <si>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</si>
  <si>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</si>
  <si>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</si>
  <si>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</si>
  <si>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</si>
  <si>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</si>
  <si>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</si>
  <si>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</si>
  <si>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</si>
  <si>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</si>
  <si>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</si>
  <si>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</si>
  <si>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</si>
  <si>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</si>
  <si>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</si>
  <si>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</si>
  <si>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</si>
  <si>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</si>
  <si>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</si>
  <si>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</si>
  <si>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</si>
  <si>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</si>
  <si>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</si>
  <si>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</si>
  <si>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</si>
  <si>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</si>
  <si>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</si>
  <si>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</si>
  <si>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</si>
  <si>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</si>
  <si>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</si>
  <si>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South Pacolet River, USGS Gage</t>
  </si>
  <si>
    <t>35.106304, -82.129122</t>
  </si>
  <si>
    <t>South Pacolet River</t>
  </si>
  <si>
    <t>sand</t>
  </si>
  <si>
    <t>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</si>
</sst>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5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'Cross-section'!$C$29:$C$50</c:f>
              <c:numCache>
                <c:formatCode>0.0</c:formatCode>
                <c:ptCount val="22"/>
                <c:pt idx="0">
                  <c:v>0</c:v>
                </c:pt>
                <c:pt idx="1">
                  <c:v>6.3599999999999994</c:v>
                </c:pt>
                <c:pt idx="2">
                  <c:v>10.96</c:v>
                </c:pt>
                <c:pt idx="3">
                  <c:v>13.219999999999999</c:v>
                </c:pt>
                <c:pt idx="4">
                  <c:v>14.510000000000002</c:v>
                </c:pt>
                <c:pt idx="5">
                  <c:v>22.029999999999998</c:v>
                </c:pt>
                <c:pt idx="6">
                  <c:v>33.44</c:v>
                </c:pt>
                <c:pt idx="7">
                  <c:v>47.39</c:v>
                </c:pt>
                <c:pt idx="8">
                  <c:v>61.230000000000004</c:v>
                </c:pt>
                <c:pt idx="9">
                  <c:v>63.14</c:v>
                </c:pt>
                <c:pt idx="10">
                  <c:v>63.990000000000009</c:v>
                </c:pt>
                <c:pt idx="11">
                  <c:v>66.86</c:v>
                </c:pt>
                <c:pt idx="12">
                  <c:v>69.2</c:v>
                </c:pt>
                <c:pt idx="13">
                  <c:v>72.45</c:v>
                </c:pt>
                <c:pt idx="14">
                  <c:v>97.61</c:v>
                </c:pt>
              </c:numCache>
            </c:numRef>
          </c:xVal>
          <c:yVal>
            <c:numRef>
              <c:f>'Cross-section'!$E$29:$E$50</c:f>
              <c:numCache>
                <c:formatCode>0.00</c:formatCode>
                <c:ptCount val="22"/>
                <c:pt idx="0">
                  <c:v>98.65</c:v>
                </c:pt>
                <c:pt idx="1">
                  <c:v>98.61</c:v>
                </c:pt>
                <c:pt idx="2">
                  <c:v>98</c:v>
                </c:pt>
                <c:pt idx="3">
                  <c:v>96.54</c:v>
                </c:pt>
                <c:pt idx="4">
                  <c:v>94.68</c:v>
                </c:pt>
                <c:pt idx="5">
                  <c:v>94.21</c:v>
                </c:pt>
                <c:pt idx="6">
                  <c:v>94.12</c:v>
                </c:pt>
                <c:pt idx="7">
                  <c:v>93.69</c:v>
                </c:pt>
                <c:pt idx="8">
                  <c:v>93.49</c:v>
                </c:pt>
                <c:pt idx="9">
                  <c:v>94.83</c:v>
                </c:pt>
                <c:pt idx="10">
                  <c:v>95.98</c:v>
                </c:pt>
                <c:pt idx="11">
                  <c:v>97.98</c:v>
                </c:pt>
                <c:pt idx="12">
                  <c:v>98.61</c:v>
                </c:pt>
                <c:pt idx="13">
                  <c:v>99.6</c:v>
                </c:pt>
                <c:pt idx="14">
                  <c:v>98.67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97880"/>
        <c:axId val="104893176"/>
      </c:scatterChart>
      <c:valAx>
        <c:axId val="10489788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4893176"/>
        <c:crosses val="autoZero"/>
        <c:crossBetween val="midCat"/>
      </c:valAx>
      <c:valAx>
        <c:axId val="1048931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4897880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93568"/>
        <c:axId val="10489474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04893568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4894744"/>
        <c:crosses val="autoZero"/>
        <c:crossBetween val="midCat"/>
        <c:minorUnit val="25"/>
      </c:valAx>
      <c:valAx>
        <c:axId val="10489474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04893568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1" sqref="B1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10" customFormat="1" ht="16.95" customHeight="1" x14ac:dyDescent="0.25">
      <c r="B1" s="110" t="s">
        <v>104</v>
      </c>
      <c r="C1" s="111">
        <v>43811</v>
      </c>
      <c r="D1" s="106"/>
      <c r="E1" s="112" t="s">
        <v>105</v>
      </c>
    </row>
    <row r="2" spans="2:5" ht="16.95" customHeight="1" x14ac:dyDescent="0.25">
      <c r="B2" s="113" t="s">
        <v>65</v>
      </c>
    </row>
    <row r="3" spans="2:5" ht="16.95" customHeight="1" x14ac:dyDescent="0.25">
      <c r="B3" s="105" t="s">
        <v>16</v>
      </c>
      <c r="C3" s="106"/>
    </row>
    <row r="4" spans="2:5" ht="16.95" customHeight="1" x14ac:dyDescent="0.25">
      <c r="B4" s="59"/>
    </row>
    <row r="5" spans="2:5" ht="16.95" customHeight="1" thickBot="1" x14ac:dyDescent="0.3">
      <c r="B5" s="114" t="s">
        <v>17</v>
      </c>
      <c r="C5" s="126" t="s">
        <v>50</v>
      </c>
      <c r="D5" s="126"/>
      <c r="E5" s="126"/>
    </row>
    <row r="6" spans="2:5" ht="16.95" customHeight="1" thickTop="1" x14ac:dyDescent="0.25">
      <c r="B6" s="15" t="s">
        <v>60</v>
      </c>
      <c r="C6" s="127" t="s">
        <v>106</v>
      </c>
      <c r="D6" s="128"/>
      <c r="E6" s="129"/>
    </row>
    <row r="7" spans="2:5" ht="16.95" customHeight="1" x14ac:dyDescent="0.25">
      <c r="B7" s="15" t="s">
        <v>59</v>
      </c>
      <c r="C7" s="130" t="s">
        <v>108</v>
      </c>
      <c r="D7" s="131"/>
      <c r="E7" s="132"/>
    </row>
    <row r="8" spans="2:5" ht="16.95" customHeight="1" x14ac:dyDescent="0.25">
      <c r="B8" s="15" t="s">
        <v>21</v>
      </c>
      <c r="C8" s="133">
        <v>55.6</v>
      </c>
      <c r="D8" s="134"/>
      <c r="E8" s="135"/>
    </row>
    <row r="9" spans="2:5" ht="16.95" customHeight="1" x14ac:dyDescent="0.25">
      <c r="B9" s="15" t="s">
        <v>89</v>
      </c>
      <c r="C9" s="133" t="s">
        <v>107</v>
      </c>
      <c r="D9" s="134"/>
      <c r="E9" s="135"/>
    </row>
    <row r="10" spans="2:5" ht="16.95" customHeight="1" x14ac:dyDescent="0.25">
      <c r="B10" s="15" t="s">
        <v>52</v>
      </c>
      <c r="C10" s="139">
        <f>'Longitudinal Profile'!H9</f>
        <v>2.5100000000000001E-3</v>
      </c>
      <c r="D10" s="140"/>
      <c r="E10" s="141"/>
    </row>
    <row r="11" spans="2:5" ht="16.95" customHeight="1" x14ac:dyDescent="0.25">
      <c r="B11" s="15" t="s">
        <v>53</v>
      </c>
      <c r="C11" s="145">
        <f>'Longitudinal Profile'!H11</f>
        <v>1.08</v>
      </c>
      <c r="D11" s="146"/>
      <c r="E11" s="147"/>
    </row>
    <row r="12" spans="2:5" ht="16.95" customHeight="1" thickBot="1" x14ac:dyDescent="0.3">
      <c r="B12" s="15" t="s">
        <v>23</v>
      </c>
      <c r="C12" s="142">
        <f>'Longitudinal Profile'!H7</f>
        <v>0</v>
      </c>
      <c r="D12" s="143"/>
      <c r="E12" s="144"/>
    </row>
    <row r="13" spans="2:5" ht="16.95" customHeight="1" thickTop="1" x14ac:dyDescent="0.25">
      <c r="B13" s="117" t="s">
        <v>17</v>
      </c>
      <c r="C13" s="136" t="s">
        <v>64</v>
      </c>
      <c r="D13" s="137"/>
      <c r="E13" s="138"/>
    </row>
    <row r="14" spans="2:5" ht="16.95" customHeight="1" x14ac:dyDescent="0.25">
      <c r="B14" s="115" t="s">
        <v>71</v>
      </c>
      <c r="C14" s="123">
        <f>'Cross-section'!G6</f>
        <v>242.09014999999997</v>
      </c>
      <c r="D14" s="124"/>
      <c r="E14" s="125"/>
    </row>
    <row r="15" spans="2:5" ht="16.95" customHeight="1" x14ac:dyDescent="0.25">
      <c r="B15" s="40" t="s">
        <v>72</v>
      </c>
      <c r="C15" s="123">
        <f>'Cross-section'!G7</f>
        <v>62.84</v>
      </c>
      <c r="D15" s="124">
        <f>'Cross-section'!H7</f>
        <v>0</v>
      </c>
      <c r="E15" s="125">
        <f>'Cross-section'!I7</f>
        <v>0</v>
      </c>
    </row>
    <row r="16" spans="2:5" ht="16.95" customHeight="1" x14ac:dyDescent="0.25">
      <c r="B16" s="40" t="s">
        <v>73</v>
      </c>
      <c r="C16" s="123">
        <f>'Cross-section'!G8</f>
        <v>3.8524848822406104</v>
      </c>
      <c r="D16" s="124">
        <f>'Cross-section'!H8</f>
        <v>0</v>
      </c>
      <c r="E16" s="125">
        <f>'Cross-section'!I8</f>
        <v>0</v>
      </c>
    </row>
    <row r="17" spans="2:5" ht="16.95" customHeight="1" x14ac:dyDescent="0.25">
      <c r="B17" s="40" t="s">
        <v>74</v>
      </c>
      <c r="C17" s="123">
        <f>'Cross-section'!G9</f>
        <v>16.311550056869315</v>
      </c>
      <c r="D17" s="124">
        <f>'Cross-section'!H9</f>
        <v>0</v>
      </c>
      <c r="E17" s="125">
        <f>'Cross-section'!I9</f>
        <v>0</v>
      </c>
    </row>
    <row r="18" spans="2:5" ht="16.95" customHeight="1" x14ac:dyDescent="0.25">
      <c r="B18" s="40" t="s">
        <v>75</v>
      </c>
      <c r="C18" s="123">
        <f>'Cross-section'!G10</f>
        <v>5.1200000000000045</v>
      </c>
      <c r="D18" s="124">
        <f>'Cross-section'!H10</f>
        <v>0</v>
      </c>
      <c r="E18" s="125">
        <f>'Cross-section'!I10</f>
        <v>0</v>
      </c>
    </row>
    <row r="19" spans="2:5" ht="16.95" customHeight="1" x14ac:dyDescent="0.25">
      <c r="B19" s="40" t="s">
        <v>76</v>
      </c>
      <c r="C19" s="123">
        <f>'Cross-section'!G11</f>
        <v>1.329012353455935</v>
      </c>
      <c r="D19" s="124">
        <f>'Cross-section'!H11</f>
        <v>0</v>
      </c>
      <c r="E19" s="125">
        <f>'Cross-section'!I11</f>
        <v>0</v>
      </c>
    </row>
    <row r="20" spans="2:5" ht="16.95" customHeight="1" x14ac:dyDescent="0.25">
      <c r="B20" s="40" t="s">
        <v>25</v>
      </c>
      <c r="C20" s="123">
        <f>'Cross-section'!G12</f>
        <v>5.0999999999999996</v>
      </c>
      <c r="D20" s="124">
        <f>'Cross-section'!H12</f>
        <v>0</v>
      </c>
      <c r="E20" s="125">
        <f>'Cross-section'!I12</f>
        <v>0</v>
      </c>
    </row>
    <row r="21" spans="2:5" ht="16.95" customHeight="1" x14ac:dyDescent="0.25">
      <c r="B21" s="40" t="s">
        <v>77</v>
      </c>
      <c r="C21" s="123">
        <f>'Cross-section'!G13</f>
        <v>0.996093749999999</v>
      </c>
      <c r="D21" s="124">
        <f>'Cross-section'!H13</f>
        <v>0</v>
      </c>
      <c r="E21" s="125">
        <f>'Cross-section'!I13</f>
        <v>0</v>
      </c>
    </row>
    <row r="22" spans="2:5" ht="16.95" customHeight="1" x14ac:dyDescent="0.25">
      <c r="B22" s="40" t="s">
        <v>78</v>
      </c>
      <c r="C22" s="123">
        <f>'Cross-section'!G14</f>
        <v>348</v>
      </c>
      <c r="D22" s="124">
        <f>'Cross-section'!H14</f>
        <v>0</v>
      </c>
      <c r="E22" s="125">
        <f>'Cross-section'!I14</f>
        <v>0</v>
      </c>
    </row>
    <row r="23" spans="2:5" ht="16.95" customHeight="1" thickBot="1" x14ac:dyDescent="0.3">
      <c r="B23" s="116" t="s">
        <v>79</v>
      </c>
      <c r="C23" s="123">
        <f>'Cross-section'!G15</f>
        <v>5.5378739656269893</v>
      </c>
      <c r="D23" s="124">
        <f>'Cross-section'!H15</f>
        <v>0</v>
      </c>
      <c r="E23" s="125">
        <f>'Cross-section'!I15</f>
        <v>0</v>
      </c>
    </row>
    <row r="24" spans="2:5" ht="16.95" customHeight="1" thickTop="1" x14ac:dyDescent="0.25">
      <c r="B24" s="117" t="s">
        <v>17</v>
      </c>
      <c r="C24" s="153" t="s">
        <v>54</v>
      </c>
      <c r="D24" s="154"/>
      <c r="E24" s="155"/>
    </row>
    <row r="25" spans="2:5" ht="16.95" customHeight="1" x14ac:dyDescent="0.25">
      <c r="B25" s="40" t="s">
        <v>80</v>
      </c>
      <c r="C25" s="123">
        <f>'Cross-section'!G18</f>
        <v>993</v>
      </c>
      <c r="D25" s="124">
        <f>'Cross-section'!H18</f>
        <v>0</v>
      </c>
      <c r="E25" s="125">
        <f>'Cross-section'!I18</f>
        <v>0</v>
      </c>
    </row>
    <row r="26" spans="2:5" ht="16.95" customHeight="1" x14ac:dyDescent="0.25">
      <c r="B26" s="40" t="s">
        <v>81</v>
      </c>
      <c r="C26" s="123">
        <f>'Cross-section'!G19</f>
        <v>4.1017777881504065</v>
      </c>
      <c r="D26" s="124">
        <f>'Cross-section'!H19</f>
        <v>0</v>
      </c>
      <c r="E26" s="125">
        <f>'Cross-section'!I19</f>
        <v>0</v>
      </c>
    </row>
    <row r="27" spans="2:5" ht="16.95" customHeight="1" x14ac:dyDescent="0.25">
      <c r="B27" s="40" t="s">
        <v>51</v>
      </c>
      <c r="C27" s="123">
        <f>'Cross-section'!G20</f>
        <v>0.53748875051174716</v>
      </c>
      <c r="D27" s="124">
        <f>'Cross-section'!H20</f>
        <v>0</v>
      </c>
      <c r="E27" s="125">
        <f>'Cross-section'!I20</f>
        <v>0</v>
      </c>
    </row>
    <row r="28" spans="2:5" ht="16.95" customHeight="1" x14ac:dyDescent="0.25">
      <c r="B28" s="40" t="s">
        <v>82</v>
      </c>
      <c r="C28" s="123">
        <f>'Cross-section'!G21</f>
        <v>2.2046594182298</v>
      </c>
      <c r="D28" s="124">
        <f>'Cross-section'!H21</f>
        <v>0</v>
      </c>
      <c r="E28" s="125">
        <f>'Cross-section'!I21</f>
        <v>0</v>
      </c>
    </row>
    <row r="29" spans="2:5" ht="16.95" customHeight="1" x14ac:dyDescent="0.25">
      <c r="B29" s="15" t="s">
        <v>66</v>
      </c>
      <c r="C29" s="123">
        <f>'Cross-section'!G22</f>
        <v>43.665893535139624</v>
      </c>
      <c r="D29" s="124">
        <f>'Cross-section'!H22</f>
        <v>0</v>
      </c>
      <c r="E29" s="125">
        <f>'Cross-section'!I22</f>
        <v>0</v>
      </c>
    </row>
    <row r="30" spans="2:5" ht="16.95" customHeight="1" thickBot="1" x14ac:dyDescent="0.3">
      <c r="B30" s="15" t="s">
        <v>67</v>
      </c>
      <c r="C30" s="123">
        <f>'Cross-section'!G23</f>
        <v>131.88825861587179</v>
      </c>
      <c r="D30" s="124">
        <f>'Cross-section'!H23</f>
        <v>0</v>
      </c>
      <c r="E30" s="125">
        <f>'Cross-section'!I23</f>
        <v>0</v>
      </c>
    </row>
    <row r="31" spans="2:5" ht="16.95" customHeight="1" thickTop="1" x14ac:dyDescent="0.25">
      <c r="B31" s="151" t="s">
        <v>17</v>
      </c>
      <c r="C31" s="148" t="s">
        <v>57</v>
      </c>
      <c r="D31" s="149"/>
      <c r="E31" s="150"/>
    </row>
    <row r="32" spans="2:5" ht="16.95" customHeight="1" thickBot="1" x14ac:dyDescent="0.3">
      <c r="B32" s="152"/>
      <c r="C32" s="118" t="s">
        <v>18</v>
      </c>
      <c r="D32" s="118" t="s">
        <v>19</v>
      </c>
      <c r="E32" s="118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6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51" t="s">
        <v>17</v>
      </c>
      <c r="C39" s="148" t="s">
        <v>58</v>
      </c>
      <c r="D39" s="149"/>
      <c r="E39" s="150"/>
    </row>
    <row r="40" spans="2:5" ht="16.95" customHeight="1" thickBot="1" x14ac:dyDescent="0.3">
      <c r="B40" s="152"/>
      <c r="C40" s="118" t="s">
        <v>18</v>
      </c>
      <c r="D40" s="118" t="s">
        <v>19</v>
      </c>
      <c r="E40" s="118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zoomScaleNormal="100" workbookViewId="0">
      <selection activeCell="B1" sqref="B1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7" t="s">
        <v>14</v>
      </c>
      <c r="C3" s="119"/>
      <c r="D3" s="119"/>
      <c r="E3" s="119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2" t="s">
        <v>17</v>
      </c>
      <c r="C5" s="163"/>
      <c r="D5" s="163"/>
      <c r="E5" s="163"/>
      <c r="F5" s="164"/>
      <c r="G5" s="162" t="s">
        <v>64</v>
      </c>
      <c r="H5" s="163"/>
      <c r="I5" s="164"/>
      <c r="K5" s="5"/>
      <c r="L5" s="5"/>
    </row>
    <row r="6" spans="2:12" ht="16.5" customHeight="1" x14ac:dyDescent="0.25">
      <c r="B6" s="171" t="s">
        <v>71</v>
      </c>
      <c r="C6" s="172"/>
      <c r="D6" s="172"/>
      <c r="E6" s="172"/>
      <c r="F6" s="173"/>
      <c r="G6" s="159">
        <f>K30</f>
        <v>242.09014999999997</v>
      </c>
      <c r="H6" s="160"/>
      <c r="I6" s="161"/>
      <c r="K6" s="5"/>
      <c r="L6" s="5"/>
    </row>
    <row r="7" spans="2:12" ht="16.5" customHeight="1" x14ac:dyDescent="0.25">
      <c r="B7" s="171" t="s">
        <v>72</v>
      </c>
      <c r="C7" s="172"/>
      <c r="D7" s="172"/>
      <c r="E7" s="172"/>
      <c r="F7" s="173"/>
      <c r="G7" s="159">
        <f t="shared" ref="G7:G15" si="0">K31</f>
        <v>62.84</v>
      </c>
      <c r="H7" s="160"/>
      <c r="I7" s="161"/>
      <c r="J7" s="12"/>
      <c r="K7" s="5"/>
      <c r="L7" s="5"/>
    </row>
    <row r="8" spans="2:12" ht="16.5" customHeight="1" x14ac:dyDescent="0.25">
      <c r="B8" s="171" t="s">
        <v>73</v>
      </c>
      <c r="C8" s="172"/>
      <c r="D8" s="172"/>
      <c r="E8" s="172"/>
      <c r="F8" s="173"/>
      <c r="G8" s="159">
        <f t="shared" si="0"/>
        <v>3.8524848822406104</v>
      </c>
      <c r="H8" s="160"/>
      <c r="I8" s="161"/>
      <c r="J8" s="12"/>
      <c r="K8" s="5"/>
      <c r="L8" s="5"/>
    </row>
    <row r="9" spans="2:12" ht="16.5" customHeight="1" x14ac:dyDescent="0.25">
      <c r="B9" s="171" t="s">
        <v>74</v>
      </c>
      <c r="C9" s="172"/>
      <c r="D9" s="172"/>
      <c r="E9" s="172"/>
      <c r="F9" s="173"/>
      <c r="G9" s="159">
        <f t="shared" si="0"/>
        <v>16.311550056869315</v>
      </c>
      <c r="H9" s="160"/>
      <c r="I9" s="161"/>
      <c r="J9" s="12"/>
      <c r="K9" s="5"/>
      <c r="L9" s="5"/>
    </row>
    <row r="10" spans="2:12" ht="16.5" customHeight="1" x14ac:dyDescent="0.25">
      <c r="B10" s="171" t="s">
        <v>75</v>
      </c>
      <c r="C10" s="172"/>
      <c r="D10" s="172"/>
      <c r="E10" s="172"/>
      <c r="F10" s="173"/>
      <c r="G10" s="159">
        <f t="shared" si="0"/>
        <v>5.1200000000000045</v>
      </c>
      <c r="H10" s="160"/>
      <c r="I10" s="161"/>
      <c r="J10" s="12"/>
      <c r="K10" s="5"/>
      <c r="L10" s="5"/>
    </row>
    <row r="11" spans="2:12" ht="16.5" customHeight="1" x14ac:dyDescent="0.25">
      <c r="B11" s="171" t="s">
        <v>76</v>
      </c>
      <c r="C11" s="172"/>
      <c r="D11" s="172"/>
      <c r="E11" s="172"/>
      <c r="F11" s="173"/>
      <c r="G11" s="159">
        <f t="shared" si="0"/>
        <v>1.329012353455935</v>
      </c>
      <c r="H11" s="160"/>
      <c r="I11" s="161"/>
      <c r="J11" s="12"/>
      <c r="K11" s="5"/>
      <c r="L11" s="5"/>
    </row>
    <row r="12" spans="2:12" ht="16.5" customHeight="1" x14ac:dyDescent="0.25">
      <c r="B12" s="168" t="s">
        <v>25</v>
      </c>
      <c r="C12" s="169"/>
      <c r="D12" s="169"/>
      <c r="E12" s="169"/>
      <c r="F12" s="170"/>
      <c r="G12" s="159">
        <f t="shared" si="0"/>
        <v>5.0999999999999996</v>
      </c>
      <c r="H12" s="160"/>
      <c r="I12" s="161"/>
      <c r="J12" s="12"/>
      <c r="K12" s="5"/>
      <c r="L12" s="5"/>
    </row>
    <row r="13" spans="2:12" ht="16.5" customHeight="1" x14ac:dyDescent="0.25">
      <c r="B13" s="168" t="s">
        <v>77</v>
      </c>
      <c r="C13" s="169"/>
      <c r="D13" s="169"/>
      <c r="E13" s="169"/>
      <c r="F13" s="170"/>
      <c r="G13" s="159">
        <f t="shared" si="0"/>
        <v>0.996093749999999</v>
      </c>
      <c r="H13" s="160"/>
      <c r="I13" s="161"/>
      <c r="J13" s="12"/>
      <c r="K13" s="5"/>
      <c r="L13" s="5"/>
    </row>
    <row r="14" spans="2:12" ht="16.5" customHeight="1" x14ac:dyDescent="0.25">
      <c r="B14" s="165" t="s">
        <v>78</v>
      </c>
      <c r="C14" s="166"/>
      <c r="D14" s="166"/>
      <c r="E14" s="166"/>
      <c r="F14" s="167"/>
      <c r="G14" s="159">
        <f t="shared" si="0"/>
        <v>348</v>
      </c>
      <c r="H14" s="160"/>
      <c r="I14" s="161"/>
      <c r="J14" s="12"/>
      <c r="K14" s="5"/>
      <c r="L14" s="5"/>
    </row>
    <row r="15" spans="2:12" ht="16.5" customHeight="1" x14ac:dyDescent="0.25">
      <c r="B15" s="171" t="s">
        <v>79</v>
      </c>
      <c r="C15" s="172"/>
      <c r="D15" s="172"/>
      <c r="E15" s="172"/>
      <c r="F15" s="173"/>
      <c r="G15" s="159">
        <f t="shared" si="0"/>
        <v>5.5378739656269893</v>
      </c>
      <c r="H15" s="160"/>
      <c r="I15" s="161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2" t="s">
        <v>17</v>
      </c>
      <c r="C17" s="163"/>
      <c r="D17" s="163"/>
      <c r="E17" s="163"/>
      <c r="F17" s="164"/>
      <c r="G17" s="162" t="s">
        <v>54</v>
      </c>
      <c r="H17" s="163"/>
      <c r="I17" s="164"/>
      <c r="K17" s="5"/>
      <c r="L17" s="5"/>
    </row>
    <row r="18" spans="2:12" ht="16.5" customHeight="1" x14ac:dyDescent="0.25">
      <c r="B18" s="171" t="s">
        <v>80</v>
      </c>
      <c r="C18" s="172"/>
      <c r="D18" s="172"/>
      <c r="E18" s="172"/>
      <c r="F18" s="173"/>
      <c r="G18" s="156">
        <f>K44</f>
        <v>993</v>
      </c>
      <c r="H18" s="157"/>
      <c r="I18" s="158"/>
      <c r="K18" s="5"/>
      <c r="L18" s="5"/>
    </row>
    <row r="19" spans="2:12" ht="16.5" customHeight="1" x14ac:dyDescent="0.25">
      <c r="B19" s="171" t="s">
        <v>81</v>
      </c>
      <c r="C19" s="172"/>
      <c r="D19" s="172"/>
      <c r="E19" s="172"/>
      <c r="F19" s="173"/>
      <c r="G19" s="123">
        <f t="shared" ref="G19:G23" si="1">K45</f>
        <v>4.1017777881504065</v>
      </c>
      <c r="H19" s="124"/>
      <c r="I19" s="125"/>
      <c r="K19" s="5"/>
      <c r="L19" s="5"/>
    </row>
    <row r="20" spans="2:12" ht="16.5" customHeight="1" x14ac:dyDescent="0.25">
      <c r="B20" s="171" t="s">
        <v>82</v>
      </c>
      <c r="C20" s="172"/>
      <c r="D20" s="172"/>
      <c r="E20" s="172"/>
      <c r="F20" s="173"/>
      <c r="G20" s="123">
        <f t="shared" si="1"/>
        <v>0.53748875051174716</v>
      </c>
      <c r="H20" s="124"/>
      <c r="I20" s="125"/>
      <c r="J20" s="2"/>
      <c r="K20" s="5"/>
      <c r="L20" s="5"/>
    </row>
    <row r="21" spans="2:12" ht="16.5" customHeight="1" x14ac:dyDescent="0.25">
      <c r="B21" s="171" t="s">
        <v>49</v>
      </c>
      <c r="C21" s="172"/>
      <c r="D21" s="172"/>
      <c r="E21" s="172"/>
      <c r="F21" s="173"/>
      <c r="G21" s="123">
        <f t="shared" si="1"/>
        <v>2.2046594182298</v>
      </c>
      <c r="H21" s="124"/>
      <c r="I21" s="125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6">
        <f t="shared" si="1"/>
        <v>43.665893535139624</v>
      </c>
      <c r="H22" s="157"/>
      <c r="I22" s="158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6">
        <f t="shared" si="1"/>
        <v>131.88825861587179</v>
      </c>
      <c r="H23" s="157"/>
      <c r="I23" s="158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8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4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20"/>
      <c r="C29" s="121">
        <v>0</v>
      </c>
      <c r="D29" s="122"/>
      <c r="E29" s="30">
        <v>98.65</v>
      </c>
      <c r="F29" s="31">
        <f t="shared" ref="F29:F30" si="2">IF(E29&gt;0,IF(E29&lt;K$29,K$29-E29,0),0)</f>
        <v>0</v>
      </c>
      <c r="G29" s="32">
        <f t="shared" ref="G29:G30" si="3">IF(E29&gt;0,IF(E29&lt;=K$29,C29-C28,0),0)</f>
        <v>0</v>
      </c>
      <c r="H29" s="31">
        <f t="shared" ref="H29:H30" si="4">IF(E29&lt;=K$29,G29*(F28+F29)/2,0)</f>
        <v>0</v>
      </c>
      <c r="J29" s="33" t="s">
        <v>15</v>
      </c>
      <c r="K29" s="34">
        <f>LOOKUP("LBKF",B29:E50)</f>
        <v>98.61</v>
      </c>
      <c r="L29" s="35"/>
    </row>
    <row r="30" spans="2:12" ht="16.5" customHeight="1" x14ac:dyDescent="0.25">
      <c r="B30" s="120" t="s">
        <v>2</v>
      </c>
      <c r="C30" s="121">
        <v>6.3599999999999994</v>
      </c>
      <c r="D30" s="122"/>
      <c r="E30" s="30">
        <v>98.61</v>
      </c>
      <c r="F30" s="31">
        <f t="shared" si="2"/>
        <v>0</v>
      </c>
      <c r="G30" s="32">
        <f t="shared" si="3"/>
        <v>6.3599999999999994</v>
      </c>
      <c r="H30" s="31">
        <f t="shared" si="4"/>
        <v>0</v>
      </c>
      <c r="J30" s="37" t="s">
        <v>71</v>
      </c>
      <c r="K30" s="11">
        <f>SUM(H29:H50)</f>
        <v>242.09014999999997</v>
      </c>
      <c r="L30" s="35"/>
    </row>
    <row r="31" spans="2:12" ht="16.5" customHeight="1" x14ac:dyDescent="0.25">
      <c r="B31" s="120"/>
      <c r="C31" s="121">
        <v>10.96</v>
      </c>
      <c r="D31" s="122"/>
      <c r="E31" s="30">
        <v>98</v>
      </c>
      <c r="F31" s="31">
        <f t="shared" ref="F31" si="5">IF(E31&gt;0,IF(E31&lt;K$29,K$29-E31,0),0)</f>
        <v>0.60999999999999943</v>
      </c>
      <c r="G31" s="32">
        <f t="shared" ref="G31" si="6">IF(E31&gt;0,IF(E31&lt;=K$29,C31-C30,0),0)</f>
        <v>4.6000000000000014</v>
      </c>
      <c r="H31" s="31">
        <f t="shared" ref="H31" si="7">IF(E31&lt;=K$29,G31*(F30+F31)/2,0)</f>
        <v>1.4029999999999991</v>
      </c>
      <c r="J31" s="37" t="s">
        <v>72</v>
      </c>
      <c r="K31" s="11">
        <f>LOOKUP("RBKF",B29:C50)-LOOKUP("LBKF",B29:C50)</f>
        <v>62.84</v>
      </c>
      <c r="L31" s="35"/>
    </row>
    <row r="32" spans="2:12" ht="16.5" customHeight="1" x14ac:dyDescent="0.25">
      <c r="B32" s="120"/>
      <c r="C32" s="121">
        <v>13.219999999999999</v>
      </c>
      <c r="D32" s="122"/>
      <c r="E32" s="30">
        <v>96.54</v>
      </c>
      <c r="F32" s="31">
        <f t="shared" ref="F32:F43" si="8">IF(E32&gt;0,IF(E32&lt;K$29,K$29-E32,0),0)</f>
        <v>2.0699999999999932</v>
      </c>
      <c r="G32" s="32">
        <f t="shared" ref="G32:G43" si="9">IF(E32&gt;0,IF(E32&lt;=K$29,C32-C31,0),0)</f>
        <v>2.259999999999998</v>
      </c>
      <c r="H32" s="31">
        <f t="shared" ref="H32:H43" si="10">IF(E32&lt;=K$29,G32*(F31+F32)/2,0)</f>
        <v>3.0283999999999889</v>
      </c>
      <c r="J32" s="37" t="s">
        <v>73</v>
      </c>
      <c r="K32" s="11">
        <f>K30/K31</f>
        <v>3.8524848822406104</v>
      </c>
      <c r="L32" s="35"/>
    </row>
    <row r="33" spans="2:13" ht="16.5" customHeight="1" x14ac:dyDescent="0.25">
      <c r="B33" s="120"/>
      <c r="C33" s="121">
        <v>14.510000000000002</v>
      </c>
      <c r="D33" s="122"/>
      <c r="E33" s="30">
        <v>94.68</v>
      </c>
      <c r="F33" s="31">
        <f t="shared" si="8"/>
        <v>3.9299999999999926</v>
      </c>
      <c r="G33" s="32">
        <f t="shared" si="9"/>
        <v>1.2900000000000027</v>
      </c>
      <c r="H33" s="31">
        <f t="shared" si="10"/>
        <v>3.8699999999999988</v>
      </c>
      <c r="J33" s="37" t="s">
        <v>74</v>
      </c>
      <c r="K33" s="38">
        <f>K31/K32</f>
        <v>16.311550056869315</v>
      </c>
      <c r="L33" s="35"/>
    </row>
    <row r="34" spans="2:13" ht="16.5" customHeight="1" x14ac:dyDescent="0.25">
      <c r="B34" s="120"/>
      <c r="C34" s="121">
        <v>22.029999999999998</v>
      </c>
      <c r="D34" s="122"/>
      <c r="E34" s="30">
        <v>94.21</v>
      </c>
      <c r="F34" s="31">
        <f t="shared" si="8"/>
        <v>4.4000000000000057</v>
      </c>
      <c r="G34" s="32">
        <f t="shared" si="9"/>
        <v>7.519999999999996</v>
      </c>
      <c r="H34" s="31">
        <f t="shared" si="10"/>
        <v>31.320799999999977</v>
      </c>
      <c r="J34" s="37" t="s">
        <v>75</v>
      </c>
      <c r="K34" s="11">
        <f>MAX(F29:F50)</f>
        <v>5.1200000000000045</v>
      </c>
      <c r="L34" s="35"/>
    </row>
    <row r="35" spans="2:13" ht="16.5" customHeight="1" x14ac:dyDescent="0.25">
      <c r="B35" s="120"/>
      <c r="C35" s="121">
        <v>33.44</v>
      </c>
      <c r="D35" s="122"/>
      <c r="E35" s="30">
        <v>94.12</v>
      </c>
      <c r="F35" s="31">
        <f t="shared" si="8"/>
        <v>4.4899999999999949</v>
      </c>
      <c r="G35" s="32">
        <f t="shared" si="9"/>
        <v>11.41</v>
      </c>
      <c r="H35" s="31">
        <f t="shared" si="10"/>
        <v>50.717450000000007</v>
      </c>
      <c r="J35" s="37" t="s">
        <v>76</v>
      </c>
      <c r="K35" s="39">
        <f>K34/K32</f>
        <v>1.329012353455935</v>
      </c>
      <c r="L35" s="35"/>
    </row>
    <row r="36" spans="2:13" ht="16.5" customHeight="1" x14ac:dyDescent="0.25">
      <c r="B36" s="120"/>
      <c r="C36" s="121">
        <v>47.39</v>
      </c>
      <c r="D36" s="122"/>
      <c r="E36" s="30">
        <v>93.69</v>
      </c>
      <c r="F36" s="31">
        <f t="shared" si="8"/>
        <v>4.9200000000000017</v>
      </c>
      <c r="G36" s="32">
        <f t="shared" si="9"/>
        <v>13.950000000000003</v>
      </c>
      <c r="H36" s="31">
        <f t="shared" si="10"/>
        <v>65.634749999999983</v>
      </c>
      <c r="J36" s="40" t="s">
        <v>25</v>
      </c>
      <c r="K36" s="41">
        <v>5.0999999999999996</v>
      </c>
      <c r="L36" s="35"/>
    </row>
    <row r="37" spans="2:13" ht="16.5" customHeight="1" x14ac:dyDescent="0.25">
      <c r="B37" s="120"/>
      <c r="C37" s="121">
        <v>61.230000000000004</v>
      </c>
      <c r="D37" s="122"/>
      <c r="E37" s="30">
        <v>93.49</v>
      </c>
      <c r="F37" s="31">
        <f t="shared" si="8"/>
        <v>5.1200000000000045</v>
      </c>
      <c r="G37" s="32">
        <f t="shared" si="9"/>
        <v>13.840000000000003</v>
      </c>
      <c r="H37" s="31">
        <f t="shared" si="10"/>
        <v>69.476800000000054</v>
      </c>
      <c r="J37" s="40" t="s">
        <v>77</v>
      </c>
      <c r="K37" s="42">
        <f>+K36/K34</f>
        <v>0.996093749999999</v>
      </c>
      <c r="L37" s="35"/>
    </row>
    <row r="38" spans="2:13" ht="16.5" customHeight="1" x14ac:dyDescent="0.25">
      <c r="B38" s="120"/>
      <c r="C38" s="121">
        <v>63.14</v>
      </c>
      <c r="D38" s="122"/>
      <c r="E38" s="30">
        <v>94.83</v>
      </c>
      <c r="F38" s="31">
        <f t="shared" si="8"/>
        <v>3.7800000000000011</v>
      </c>
      <c r="G38" s="32">
        <f t="shared" si="9"/>
        <v>1.9099999999999966</v>
      </c>
      <c r="H38" s="31">
        <f t="shared" si="10"/>
        <v>8.4994999999999905</v>
      </c>
      <c r="J38" s="43" t="s">
        <v>78</v>
      </c>
      <c r="K38" s="44">
        <v>348</v>
      </c>
      <c r="L38" s="35"/>
    </row>
    <row r="39" spans="2:13" ht="16.5" customHeight="1" x14ac:dyDescent="0.25">
      <c r="B39" s="120"/>
      <c r="C39" s="121">
        <v>63.990000000000009</v>
      </c>
      <c r="D39" s="122"/>
      <c r="E39" s="30">
        <v>95.98</v>
      </c>
      <c r="F39" s="31">
        <f t="shared" si="8"/>
        <v>2.6299999999999955</v>
      </c>
      <c r="G39" s="32">
        <f t="shared" si="9"/>
        <v>0.85000000000000853</v>
      </c>
      <c r="H39" s="31">
        <f t="shared" si="10"/>
        <v>2.7242500000000258</v>
      </c>
      <c r="J39" s="37" t="s">
        <v>79</v>
      </c>
      <c r="K39" s="11">
        <f>K38/K31</f>
        <v>5.5378739656269893</v>
      </c>
      <c r="L39" s="35"/>
    </row>
    <row r="40" spans="2:13" ht="16.5" customHeight="1" x14ac:dyDescent="0.25">
      <c r="B40" s="120"/>
      <c r="C40" s="121">
        <v>66.86</v>
      </c>
      <c r="D40" s="122"/>
      <c r="E40" s="30">
        <v>97.98</v>
      </c>
      <c r="F40" s="31">
        <f t="shared" si="8"/>
        <v>0.62999999999999545</v>
      </c>
      <c r="G40" s="32">
        <f t="shared" si="9"/>
        <v>2.8699999999999903</v>
      </c>
      <c r="H40" s="31">
        <f t="shared" si="10"/>
        <v>4.6780999999999713</v>
      </c>
      <c r="J40" s="37" t="s">
        <v>8</v>
      </c>
      <c r="K40" s="109">
        <f>+'Longitudinal Profile'!$H$9</f>
        <v>2.5100000000000001E-3</v>
      </c>
      <c r="L40" s="45"/>
    </row>
    <row r="41" spans="2:13" ht="16.5" customHeight="1" x14ac:dyDescent="0.25">
      <c r="B41" s="120" t="s">
        <v>3</v>
      </c>
      <c r="C41" s="121">
        <v>69.2</v>
      </c>
      <c r="D41" s="122"/>
      <c r="E41" s="30">
        <v>98.61</v>
      </c>
      <c r="F41" s="31">
        <f t="shared" si="8"/>
        <v>0</v>
      </c>
      <c r="G41" s="32">
        <f t="shared" si="9"/>
        <v>2.3400000000000034</v>
      </c>
      <c r="H41" s="31">
        <f t="shared" si="10"/>
        <v>0.73709999999999576</v>
      </c>
      <c r="J41" s="37" t="s">
        <v>10</v>
      </c>
      <c r="K41" s="46"/>
      <c r="L41" s="45"/>
    </row>
    <row r="42" spans="2:13" ht="16.5" customHeight="1" x14ac:dyDescent="0.25">
      <c r="B42" s="120"/>
      <c r="C42" s="121">
        <v>72.45</v>
      </c>
      <c r="D42" s="122"/>
      <c r="E42" s="30">
        <v>99.6</v>
      </c>
      <c r="F42" s="31">
        <f t="shared" si="8"/>
        <v>0</v>
      </c>
      <c r="G42" s="32">
        <f t="shared" si="9"/>
        <v>0</v>
      </c>
      <c r="H42" s="31">
        <f t="shared" si="10"/>
        <v>0</v>
      </c>
      <c r="J42" s="37" t="s">
        <v>27</v>
      </c>
      <c r="K42" s="14">
        <f>K31+2*K32</f>
        <v>70.544969764481223</v>
      </c>
      <c r="L42" s="47"/>
      <c r="M42" s="47"/>
    </row>
    <row r="43" spans="2:13" ht="16.5" customHeight="1" x14ac:dyDescent="0.25">
      <c r="B43" s="120"/>
      <c r="C43" s="121">
        <v>97.61</v>
      </c>
      <c r="D43" s="122"/>
      <c r="E43" s="30">
        <v>98.67</v>
      </c>
      <c r="F43" s="31">
        <f t="shared" si="8"/>
        <v>0</v>
      </c>
      <c r="G43" s="32">
        <f t="shared" si="9"/>
        <v>0</v>
      </c>
      <c r="H43" s="31">
        <f t="shared" si="10"/>
        <v>0</v>
      </c>
      <c r="J43" s="37" t="s">
        <v>9</v>
      </c>
      <c r="K43" s="14">
        <f>K30/K42</f>
        <v>3.4317138529966491</v>
      </c>
      <c r="L43" s="47"/>
      <c r="M43" s="47"/>
    </row>
    <row r="44" spans="2:13" ht="16.5" customHeight="1" x14ac:dyDescent="0.25">
      <c r="B44" s="120"/>
      <c r="C44" s="121"/>
      <c r="D44" s="122"/>
      <c r="E44" s="30"/>
      <c r="F44" s="31"/>
      <c r="G44" s="32"/>
      <c r="H44" s="31"/>
      <c r="J44" s="37" t="s">
        <v>80</v>
      </c>
      <c r="K44" s="14">
        <v>993</v>
      </c>
    </row>
    <row r="45" spans="2:13" ht="16.5" customHeight="1" x14ac:dyDescent="0.25">
      <c r="B45" s="120"/>
      <c r="C45" s="121"/>
      <c r="D45" s="122"/>
      <c r="E45" s="30"/>
      <c r="F45" s="31"/>
      <c r="G45" s="32"/>
      <c r="H45" s="31"/>
      <c r="J45" s="37" t="s">
        <v>81</v>
      </c>
      <c r="K45" s="14">
        <f>K44/K30</f>
        <v>4.1017777881504065</v>
      </c>
    </row>
    <row r="46" spans="2:13" ht="16.5" customHeight="1" x14ac:dyDescent="0.25">
      <c r="B46" s="120"/>
      <c r="C46" s="121"/>
      <c r="D46" s="122"/>
      <c r="E46" s="30"/>
      <c r="F46" s="31"/>
      <c r="G46" s="32"/>
      <c r="H46" s="31"/>
      <c r="J46" s="37" t="s">
        <v>82</v>
      </c>
      <c r="K46" s="42">
        <f>62.4*K43*K40</f>
        <v>0.53748875051174716</v>
      </c>
    </row>
    <row r="47" spans="2:13" ht="16.5" customHeight="1" x14ac:dyDescent="0.25">
      <c r="B47" s="120"/>
      <c r="C47" s="121"/>
      <c r="D47" s="122"/>
      <c r="E47" s="30"/>
      <c r="F47" s="31"/>
      <c r="G47" s="32"/>
      <c r="H47" s="31"/>
      <c r="J47" s="37" t="s">
        <v>49</v>
      </c>
      <c r="K47" s="42">
        <f>K46*K45</f>
        <v>2.2046594182298</v>
      </c>
    </row>
    <row r="48" spans="2:13" ht="16.5" customHeight="1" x14ac:dyDescent="0.25">
      <c r="B48" s="120"/>
      <c r="C48" s="121"/>
      <c r="D48" s="122"/>
      <c r="E48" s="30"/>
      <c r="F48" s="31"/>
      <c r="G48" s="32"/>
      <c r="H48" s="31"/>
      <c r="J48" s="15" t="s">
        <v>55</v>
      </c>
      <c r="K48" s="48">
        <f>77.966*(K46*1.042)</f>
        <v>43.665893535139624</v>
      </c>
    </row>
    <row r="49" spans="2:11" ht="16.5" customHeight="1" x14ac:dyDescent="0.25">
      <c r="B49" s="120"/>
      <c r="C49" s="121"/>
      <c r="D49" s="122"/>
      <c r="E49" s="30"/>
      <c r="F49" s="31"/>
      <c r="G49" s="32"/>
      <c r="H49" s="31"/>
      <c r="J49" s="15" t="s">
        <v>56</v>
      </c>
      <c r="K49" s="48">
        <f>253.7*(K46*0.9672)</f>
        <v>131.88825861587179</v>
      </c>
    </row>
    <row r="50" spans="2:11" ht="16.5" customHeight="1" x14ac:dyDescent="0.25">
      <c r="B50" s="120"/>
      <c r="C50" s="121"/>
      <c r="D50" s="122"/>
      <c r="E50" s="30"/>
      <c r="F50" s="31"/>
      <c r="G50" s="32"/>
      <c r="H50" s="31"/>
      <c r="J50" s="2"/>
    </row>
    <row r="51" spans="2:11" ht="16.5" customHeight="1" x14ac:dyDescent="0.25">
      <c r="B51" s="49"/>
      <c r="C51" s="50"/>
      <c r="D51" s="50"/>
      <c r="E51" s="50"/>
      <c r="F51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D13" sqref="D13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7" t="s">
        <v>17</v>
      </c>
      <c r="K5" s="178"/>
      <c r="L5" s="181" t="s">
        <v>47</v>
      </c>
      <c r="M5" s="182"/>
      <c r="N5" s="182"/>
      <c r="O5" s="182"/>
      <c r="P5" s="182"/>
      <c r="Q5" s="182"/>
      <c r="R5" s="182"/>
      <c r="S5" s="183"/>
      <c r="T5" s="176" t="s">
        <v>34</v>
      </c>
      <c r="U5" s="176"/>
      <c r="V5" s="176"/>
    </row>
    <row r="6" spans="2:22" ht="16.5" customHeight="1" thickTop="1" thickBot="1" x14ac:dyDescent="0.35">
      <c r="B6" s="71" t="s">
        <v>12</v>
      </c>
      <c r="C6" s="72">
        <f>C15</f>
        <v>0</v>
      </c>
      <c r="D6" s="73">
        <f>G15</f>
        <v>0</v>
      </c>
      <c r="F6" s="179" t="s">
        <v>28</v>
      </c>
      <c r="G6" s="180"/>
      <c r="H6" s="74"/>
      <c r="I6" s="70"/>
      <c r="J6" s="178"/>
      <c r="K6" s="178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5" t="s">
        <v>18</v>
      </c>
      <c r="U6" s="75" t="s">
        <v>19</v>
      </c>
      <c r="V6" s="75" t="s">
        <v>20</v>
      </c>
    </row>
    <row r="7" spans="2:22" ht="16.5" customHeight="1" thickTop="1" x14ac:dyDescent="0.3">
      <c r="B7" s="21" t="s">
        <v>13</v>
      </c>
      <c r="C7" s="11">
        <f>C30</f>
        <v>0</v>
      </c>
      <c r="D7" s="73">
        <f>G30</f>
        <v>0</v>
      </c>
      <c r="F7" s="76" t="s">
        <v>29</v>
      </c>
      <c r="G7" s="77"/>
      <c r="H7" s="39"/>
      <c r="I7" s="67"/>
      <c r="J7" s="177" t="s">
        <v>85</v>
      </c>
      <c r="K7" s="177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8"/>
      <c r="C8" s="79" t="s">
        <v>90</v>
      </c>
      <c r="D8" s="104"/>
      <c r="F8" s="76" t="s">
        <v>30</v>
      </c>
      <c r="G8" s="77"/>
      <c r="H8" s="31"/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8"/>
      <c r="C9" s="79" t="s">
        <v>91</v>
      </c>
      <c r="D9" s="22"/>
      <c r="F9" s="76" t="s">
        <v>31</v>
      </c>
      <c r="G9" s="77"/>
      <c r="H9" s="80">
        <v>2.5100000000000001E-3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8"/>
      <c r="C10" s="21" t="s">
        <v>92</v>
      </c>
      <c r="D10" s="22"/>
      <c r="F10" s="76" t="s">
        <v>32</v>
      </c>
      <c r="G10" s="77"/>
      <c r="H10" s="80">
        <f>H9*H11</f>
        <v>2.7108000000000002E-3</v>
      </c>
      <c r="I10" s="81"/>
      <c r="J10" s="60" t="s">
        <v>86</v>
      </c>
      <c r="K10" s="82"/>
      <c r="L10" s="83"/>
      <c r="M10" s="83"/>
      <c r="N10" s="83"/>
      <c r="O10" s="83"/>
      <c r="P10" s="83"/>
      <c r="Q10" s="83"/>
      <c r="R10" s="83"/>
      <c r="S10" s="83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4" t="s">
        <v>33</v>
      </c>
      <c r="G11" s="175"/>
      <c r="H11" s="31">
        <v>1.08</v>
      </c>
      <c r="I11" s="81"/>
      <c r="J11" s="60" t="s">
        <v>84</v>
      </c>
      <c r="K11" s="84"/>
      <c r="L11" s="83"/>
      <c r="M11" s="83"/>
      <c r="N11" s="83"/>
      <c r="O11" s="83"/>
      <c r="P11" s="83"/>
      <c r="Q11" s="83"/>
      <c r="R11" s="83"/>
      <c r="S11" s="83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1"/>
      <c r="J12" s="54"/>
      <c r="K12" s="85"/>
      <c r="L12" s="85"/>
      <c r="M12" s="85"/>
      <c r="N12" s="85"/>
      <c r="O12" s="85"/>
      <c r="P12" s="85"/>
      <c r="Q12" s="85"/>
      <c r="R12" s="85"/>
    </row>
    <row r="13" spans="2:22" ht="16.5" customHeight="1" x14ac:dyDescent="0.3">
      <c r="B13" s="2"/>
      <c r="C13" s="50"/>
      <c r="D13" s="50"/>
      <c r="E13" s="86"/>
      <c r="F13" s="86"/>
      <c r="G13" s="67"/>
      <c r="H13" s="54"/>
      <c r="I13" s="81"/>
      <c r="J13" s="54"/>
      <c r="K13" s="85"/>
      <c r="L13" s="85"/>
      <c r="M13" s="85"/>
      <c r="N13" s="85"/>
      <c r="O13" s="85"/>
      <c r="P13" s="85"/>
      <c r="Q13" s="85"/>
      <c r="R13" s="85"/>
    </row>
    <row r="14" spans="2:22" ht="16.5" customHeight="1" x14ac:dyDescent="0.3">
      <c r="B14" s="79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7"/>
      <c r="P15" s="87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8" t="e">
        <f>M16/L16</f>
        <v>#DIV/0!</v>
      </c>
      <c r="O16" s="89"/>
      <c r="P16" s="89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8" t="e">
        <f t="shared" ref="N17:N27" si="2">M17/L17</f>
        <v>#DIV/0!</v>
      </c>
      <c r="O17" s="89"/>
      <c r="P17" s="89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8" t="e">
        <f t="shared" si="2"/>
        <v>#DIV/0!</v>
      </c>
      <c r="O18" s="89"/>
      <c r="P18" s="89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8" t="e">
        <f t="shared" si="2"/>
        <v>#DIV/0!</v>
      </c>
      <c r="O19" s="89"/>
      <c r="P19" s="89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8" t="e">
        <f t="shared" si="2"/>
        <v>#DIV/0!</v>
      </c>
      <c r="O20" s="89"/>
      <c r="P20" s="89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8" t="e">
        <f t="shared" si="2"/>
        <v>#DIV/0!</v>
      </c>
      <c r="O21" s="89"/>
      <c r="P21" s="89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8" t="e">
        <f t="shared" si="2"/>
        <v>#DIV/0!</v>
      </c>
      <c r="O22" s="89"/>
      <c r="P22" s="89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8" t="e">
        <f t="shared" si="2"/>
        <v>#DIV/0!</v>
      </c>
      <c r="O23" s="89"/>
      <c r="P23" s="89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8" t="e">
        <f t="shared" si="2"/>
        <v>#DIV/0!</v>
      </c>
      <c r="O24" s="89"/>
      <c r="P24" s="89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8" t="e">
        <f t="shared" si="2"/>
        <v>#DIV/0!</v>
      </c>
      <c r="O25" s="89"/>
      <c r="P25" s="89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8" t="e">
        <f t="shared" si="2"/>
        <v>#DIV/0!</v>
      </c>
      <c r="O26" s="89"/>
      <c r="P26" s="89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8" t="e">
        <f t="shared" si="2"/>
        <v>#DIV/0!</v>
      </c>
      <c r="O27" s="89"/>
      <c r="P27" s="89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8" t="e">
        <f t="shared" ref="N28:N29" si="3">M28/L28</f>
        <v>#DIV/0!</v>
      </c>
      <c r="O28" s="89"/>
      <c r="P28" s="89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8" t="e">
        <f t="shared" si="3"/>
        <v>#DIV/0!</v>
      </c>
      <c r="O29" s="89"/>
      <c r="P29" s="89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8" t="e">
        <f t="shared" ref="N30" si="6">M30/L30</f>
        <v>#DIV/0!</v>
      </c>
      <c r="O30" s="89"/>
      <c r="P30" s="89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8"/>
      <c r="O31" s="89"/>
      <c r="P31" s="89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8"/>
      <c r="O32" s="89"/>
      <c r="P32" s="89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8"/>
      <c r="O33" s="89"/>
      <c r="P33" s="89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8"/>
      <c r="O34" s="89"/>
      <c r="P34" s="89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8"/>
      <c r="O35" s="89"/>
      <c r="P35" s="89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8"/>
      <c r="O36" s="89"/>
      <c r="P36" s="89"/>
    </row>
    <row r="37" spans="2:16" ht="16.5" customHeight="1" x14ac:dyDescent="0.3">
      <c r="B37" s="90"/>
      <c r="C37" s="91"/>
      <c r="D37" s="92"/>
      <c r="E37" s="30"/>
      <c r="F37" s="36"/>
      <c r="G37" s="30"/>
      <c r="H37" s="36"/>
      <c r="I37" s="30"/>
      <c r="J37" s="36"/>
      <c r="K37" s="30"/>
      <c r="L37" s="11"/>
      <c r="M37" s="30"/>
      <c r="N37" s="88"/>
      <c r="O37" s="89"/>
      <c r="P37" s="89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8"/>
      <c r="O38" s="89"/>
      <c r="P38" s="89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8"/>
      <c r="O39" s="89"/>
      <c r="P39" s="89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8"/>
      <c r="O40" s="89"/>
      <c r="P40" s="89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8"/>
      <c r="O41" s="89"/>
      <c r="P41" s="89"/>
    </row>
    <row r="42" spans="2:16" ht="16.5" customHeight="1" x14ac:dyDescent="0.3">
      <c r="B42" s="93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8"/>
      <c r="O42" s="89"/>
      <c r="P42" s="89"/>
    </row>
    <row r="43" spans="2:16" ht="16.5" customHeight="1" x14ac:dyDescent="0.3">
      <c r="B43" s="93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8"/>
      <c r="O43" s="89"/>
      <c r="P43" s="89"/>
    </row>
    <row r="44" spans="2:16" ht="16.5" customHeight="1" x14ac:dyDescent="0.3">
      <c r="B44" s="93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8"/>
      <c r="O44" s="89"/>
      <c r="P44" s="89"/>
    </row>
    <row r="45" spans="2:16" ht="16.5" customHeight="1" x14ac:dyDescent="0.3">
      <c r="B45" s="93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4"/>
      <c r="O45" s="95"/>
      <c r="P45" s="95"/>
    </row>
    <row r="46" spans="2:16" ht="16.5" customHeight="1" x14ac:dyDescent="0.3">
      <c r="B46" s="93"/>
      <c r="C46" s="29"/>
      <c r="D46" s="36"/>
      <c r="E46" s="30"/>
      <c r="F46" s="96"/>
      <c r="G46" s="30"/>
      <c r="H46" s="96"/>
      <c r="I46" s="30"/>
      <c r="J46" s="96"/>
      <c r="K46" s="30"/>
      <c r="L46" s="97"/>
      <c r="M46" s="97"/>
      <c r="N46" s="97"/>
    </row>
    <row r="47" spans="2:16" ht="16.5" customHeight="1" x14ac:dyDescent="0.3">
      <c r="B47" s="93"/>
      <c r="C47" s="29"/>
      <c r="D47" s="36"/>
      <c r="E47" s="30"/>
      <c r="F47" s="96"/>
      <c r="G47" s="30"/>
      <c r="H47" s="96"/>
      <c r="I47" s="30"/>
      <c r="J47" s="96"/>
      <c r="K47" s="30"/>
      <c r="L47" s="97"/>
      <c r="M47" s="97"/>
      <c r="N47" s="97"/>
    </row>
    <row r="48" spans="2:16" ht="16.5" customHeight="1" x14ac:dyDescent="0.3">
      <c r="B48" s="93"/>
      <c r="C48" s="29"/>
      <c r="D48" s="36"/>
      <c r="E48" s="30"/>
      <c r="F48" s="96"/>
      <c r="G48" s="30"/>
      <c r="H48" s="96"/>
      <c r="I48" s="30"/>
      <c r="J48" s="96"/>
      <c r="K48" s="30"/>
      <c r="L48" s="97"/>
      <c r="M48" s="97"/>
      <c r="N48" s="97"/>
    </row>
    <row r="49" spans="2:14" ht="16.5" customHeight="1" x14ac:dyDescent="0.3">
      <c r="B49" s="93"/>
      <c r="C49" s="29"/>
      <c r="D49" s="36"/>
      <c r="E49" s="30"/>
      <c r="F49" s="96"/>
      <c r="G49" s="30"/>
      <c r="H49" s="96"/>
      <c r="I49" s="30"/>
      <c r="J49" s="96"/>
      <c r="K49" s="30"/>
      <c r="L49" s="97"/>
      <c r="M49" s="97"/>
      <c r="N49" s="97"/>
    </row>
    <row r="50" spans="2:14" ht="16.5" customHeight="1" x14ac:dyDescent="0.3">
      <c r="B50" s="93"/>
      <c r="C50" s="29"/>
      <c r="D50" s="36"/>
      <c r="E50" s="30"/>
      <c r="F50" s="96"/>
      <c r="G50" s="30"/>
      <c r="H50" s="96"/>
      <c r="I50" s="30"/>
      <c r="J50" s="96"/>
      <c r="K50" s="30"/>
      <c r="L50" s="97"/>
      <c r="M50" s="97"/>
      <c r="N50" s="97"/>
    </row>
    <row r="51" spans="2:14" ht="16.5" customHeight="1" x14ac:dyDescent="0.3">
      <c r="B51" s="93"/>
      <c r="C51" s="29"/>
      <c r="D51" s="36"/>
      <c r="E51" s="30"/>
      <c r="F51" s="96"/>
      <c r="G51" s="30"/>
      <c r="H51" s="96"/>
      <c r="I51" s="30"/>
      <c r="J51" s="96"/>
      <c r="K51" s="30"/>
      <c r="L51" s="97"/>
      <c r="M51" s="97"/>
      <c r="N51" s="97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B1" sqref="B1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8" t="s">
        <v>14</v>
      </c>
      <c r="C3" s="99"/>
      <c r="D3" s="100"/>
    </row>
    <row r="4" spans="2:10" ht="16.5" customHeight="1" x14ac:dyDescent="0.25">
      <c r="B4" s="9"/>
      <c r="C4" s="101"/>
      <c r="D4" s="102"/>
      <c r="E4" s="59"/>
      <c r="F4" s="59"/>
      <c r="G4" s="59"/>
    </row>
    <row r="5" spans="2:10" ht="16.5" customHeight="1" x14ac:dyDescent="0.25">
      <c r="B5" s="177" t="s">
        <v>17</v>
      </c>
      <c r="C5" s="181" t="s">
        <v>35</v>
      </c>
      <c r="D5" s="182"/>
      <c r="E5" s="182"/>
      <c r="F5" s="182"/>
      <c r="G5" s="182"/>
      <c r="H5" s="176" t="s">
        <v>34</v>
      </c>
      <c r="I5" s="176"/>
      <c r="J5" s="176"/>
    </row>
    <row r="6" spans="2:10" ht="16.5" customHeight="1" thickBot="1" x14ac:dyDescent="0.3">
      <c r="B6" s="184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5" t="s">
        <v>18</v>
      </c>
      <c r="I6" s="75" t="s">
        <v>19</v>
      </c>
      <c r="J6" s="75" t="s">
        <v>20</v>
      </c>
    </row>
    <row r="7" spans="2:10" ht="16.5" customHeight="1" thickTop="1" x14ac:dyDescent="0.25">
      <c r="B7" s="40" t="s">
        <v>87</v>
      </c>
      <c r="C7" s="103"/>
      <c r="D7" s="103"/>
      <c r="E7" s="103"/>
      <c r="F7" s="103"/>
      <c r="G7" s="103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3"/>
      <c r="D8" s="103"/>
      <c r="E8" s="103"/>
      <c r="F8" s="103"/>
      <c r="G8" s="103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3"/>
      <c r="D9" s="103"/>
      <c r="E9" s="103"/>
      <c r="F9" s="103"/>
      <c r="G9" s="103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2020-02-19T22:41:11Z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