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81" l="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F40" i="81"/>
  <c r="G40" i="81"/>
  <c r="H40" i="81"/>
  <c r="F41" i="81"/>
  <c r="G41" i="81"/>
  <c r="H41" i="81"/>
  <c r="F42" i="81"/>
  <c r="G42" i="81"/>
  <c r="H42" i="81"/>
  <c r="F43" i="81"/>
  <c r="G43" i="81"/>
  <c r="H43" i="81"/>
  <c r="F31" i="81"/>
  <c r="G31" i="81"/>
  <c r="H31" i="81"/>
  <c r="K29" i="81"/>
  <c r="H10" i="70"/>
  <c r="G32" i="81"/>
  <c r="F32" i="81"/>
  <c r="H32" i="81"/>
  <c r="K30" i="81"/>
  <c r="K31" i="81"/>
  <c r="K32" i="81"/>
  <c r="K42" i="81"/>
  <c r="K43" i="81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C7" i="70"/>
  <c r="L30" i="70"/>
  <c r="D7" i="70"/>
  <c r="L23" i="70"/>
  <c r="C6" i="70"/>
  <c r="M30" i="70"/>
  <c r="N30" i="70"/>
  <c r="D6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36" i="73"/>
  <c r="C23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<sst xmlns="http://schemas.openxmlformats.org/spreadsheetml/2006/main" count="170" uniqueCount="109">
  <si>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</si>
  <si>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</si>
  <si>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</si>
  <si>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</si>
  <si>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</si>
  <si>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</si>
  <si>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</si>
  <si>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</si>
  <si>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</si>
  <si>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</si>
  <si>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</si>
  <si>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</si>
  <si>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</si>
  <si>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</si>
  <si>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</si>
  <si>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</si>
  <si>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</si>
  <si>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</si>
  <si>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</si>
  <si>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</si>
  <si>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</si>
  <si>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</si>
  <si>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</si>
  <si>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</si>
  <si>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</si>
  <si>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</si>
  <si>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</si>
  <si>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</si>
  <si>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</si>
  <si>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</si>
  <si>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</si>
  <si>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</si>
  <si>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</si>
  <si>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</si>
  <si>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</si>
  <si>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</si>
  <si>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</si>
  <si>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</si>
  <si>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</si>
  <si>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</si>
  <si>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</si>
  <si>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</si>
  <si>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</si>
  <si>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</si>
  <si>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</si>
  <si>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</si>
  <si>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</si>
  <si>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</si>
  <si>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</si>
  <si>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</si>
  <si>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</si>
  <si>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</si>
  <si>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</si>
  <si>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</si>
  <si>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</si>
  <si>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</si>
  <si>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</si>
  <si>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</si>
  <si>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</si>
  <si>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</si>
  <si>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</si>
  <si>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</si>
  <si>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</si>
  <si>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</si>
  <si>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</si>
  <si>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</si>
  <si>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</si>
  <si>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</si>
  <si>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</si>
  <si>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</si>
  <si>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</si>
  <si>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</si>
  <si>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</si>
  <si>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</si>
  <si>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</si>
  <si>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</si>
  <si>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</si>
  <si>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</si>
  <si>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</si>
  <si>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</si>
  <si>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</si>
  <si>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</si>
  <si>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</si>
  <si>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</si>
  <si>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</si>
  <si>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</si>
  <si>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</si>
  <si>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</si>
  <si>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</si>
  <si>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</si>
  <si>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</si>
  <si>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</si>
  <si>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</si>
  <si>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</si>
  <si>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</si>
  <si>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</si>
  <si>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</si>
  <si>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</si>
  <si>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</si>
  <si>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</si>
  <si>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</si>
  <si>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</si>
  <si>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</si>
  <si>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</si>
  <si>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South Tyger River, USGS Gage</t>
  </si>
  <si>
    <t>34.920927, -82.129849</t>
  </si>
  <si>
    <t>South Tyger River</t>
  </si>
  <si>
    <t>sand</t>
  </si>
  <si>
    <t>C5c-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</si>
</sst>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4.9499999999999993</c:v>
                </c:pt>
                <c:pt idx="2">
                  <c:v>6.7200000000000006</c:v>
                </c:pt>
                <c:pt idx="3">
                  <c:v>11.479999999999999</c:v>
                </c:pt>
                <c:pt idx="4">
                  <c:v>15.06</c:v>
                </c:pt>
                <c:pt idx="5">
                  <c:v>23.309999999999995</c:v>
                </c:pt>
                <c:pt idx="6">
                  <c:v>33.26</c:v>
                </c:pt>
                <c:pt idx="7">
                  <c:v>44.72</c:v>
                </c:pt>
                <c:pt idx="8">
                  <c:v>56.2</c:v>
                </c:pt>
                <c:pt idx="9">
                  <c:v>66.679999999999993</c:v>
                </c:pt>
                <c:pt idx="10">
                  <c:v>78.84</c:v>
                </c:pt>
                <c:pt idx="11">
                  <c:v>80.319999999999993</c:v>
                </c:pt>
                <c:pt idx="12">
                  <c:v>85.2</c:v>
                </c:pt>
                <c:pt idx="13">
                  <c:v>87.14</c:v>
                </c:pt>
                <c:pt idx="14">
                  <c:v>91.09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100.05</c:v>
                </c:pt>
                <c:pt idx="1">
                  <c:v>100.09</c:v>
                </c:pt>
                <c:pt idx="2">
                  <c:v>99.69</c:v>
                </c:pt>
                <c:pt idx="3">
                  <c:v>96.05</c:v>
                </c:pt>
                <c:pt idx="4">
                  <c:v>95.49</c:v>
                </c:pt>
                <c:pt idx="5">
                  <c:v>94.45</c:v>
                </c:pt>
                <c:pt idx="6">
                  <c:v>94.12</c:v>
                </c:pt>
                <c:pt idx="7">
                  <c:v>94.31</c:v>
                </c:pt>
                <c:pt idx="8">
                  <c:v>94.61</c:v>
                </c:pt>
                <c:pt idx="9">
                  <c:v>94.92</c:v>
                </c:pt>
                <c:pt idx="10">
                  <c:v>94.94</c:v>
                </c:pt>
                <c:pt idx="11">
                  <c:v>97.75</c:v>
                </c:pt>
                <c:pt idx="12">
                  <c:v>100.09</c:v>
                </c:pt>
                <c:pt idx="13">
                  <c:v>100.99</c:v>
                </c:pt>
                <c:pt idx="14">
                  <c:v>101.31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62768"/>
        <c:axId val="130265120"/>
      </c:scatterChart>
      <c:valAx>
        <c:axId val="1302627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265120"/>
        <c:crosses val="autoZero"/>
        <c:crossBetween val="midCat"/>
      </c:valAx>
      <c:valAx>
        <c:axId val="1302651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26276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61200"/>
        <c:axId val="13026316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026120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0263160"/>
        <c:crosses val="autoZero"/>
        <c:crossBetween val="midCat"/>
        <c:minorUnit val="25"/>
      </c:valAx>
      <c:valAx>
        <c:axId val="13026316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026120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2" sqref="B2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43811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26" t="s">
        <v>50</v>
      </c>
      <c r="D5" s="126"/>
      <c r="E5" s="126"/>
    </row>
    <row r="6" spans="2:5" ht="16.95" customHeight="1" thickTop="1" x14ac:dyDescent="0.25">
      <c r="B6" s="15" t="s">
        <v>60</v>
      </c>
      <c r="C6" s="127" t="s">
        <v>106</v>
      </c>
      <c r="D6" s="128"/>
      <c r="E6" s="129"/>
    </row>
    <row r="7" spans="2:5" ht="16.95" customHeight="1" x14ac:dyDescent="0.25">
      <c r="B7" s="15" t="s">
        <v>59</v>
      </c>
      <c r="C7" s="130" t="s">
        <v>108</v>
      </c>
      <c r="D7" s="131"/>
      <c r="E7" s="132"/>
    </row>
    <row r="8" spans="2:5" ht="16.95" customHeight="1" x14ac:dyDescent="0.25">
      <c r="B8" s="15" t="s">
        <v>21</v>
      </c>
      <c r="C8" s="133">
        <v>94.7</v>
      </c>
      <c r="D8" s="134"/>
      <c r="E8" s="135"/>
    </row>
    <row r="9" spans="2:5" ht="16.95" customHeight="1" x14ac:dyDescent="0.25">
      <c r="B9" s="15" t="s">
        <v>89</v>
      </c>
      <c r="C9" s="133" t="s">
        <v>107</v>
      </c>
      <c r="D9" s="134"/>
      <c r="E9" s="135"/>
    </row>
    <row r="10" spans="2:5" ht="16.95" customHeight="1" x14ac:dyDescent="0.25">
      <c r="B10" s="15" t="s">
        <v>52</v>
      </c>
      <c r="C10" s="139">
        <f>'Longitudinal Profile'!H9</f>
        <v>5.2999999999999998E-4</v>
      </c>
      <c r="D10" s="140"/>
      <c r="E10" s="141"/>
    </row>
    <row r="11" spans="2:5" ht="16.95" customHeight="1" x14ac:dyDescent="0.25">
      <c r="B11" s="15" t="s">
        <v>53</v>
      </c>
      <c r="C11" s="145">
        <f>'Longitudinal Profile'!H11</f>
        <v>1.26</v>
      </c>
      <c r="D11" s="146"/>
      <c r="E11" s="147"/>
    </row>
    <row r="12" spans="2:5" ht="16.95" customHeight="1" thickBot="1" x14ac:dyDescent="0.3">
      <c r="B12" s="15" t="s">
        <v>23</v>
      </c>
      <c r="C12" s="142">
        <f>'Longitudinal Profile'!H7</f>
        <v>0</v>
      </c>
      <c r="D12" s="143"/>
      <c r="E12" s="144"/>
    </row>
    <row r="13" spans="2:5" ht="16.95" customHeight="1" thickTop="1" x14ac:dyDescent="0.25">
      <c r="B13" s="117" t="s">
        <v>17</v>
      </c>
      <c r="C13" s="136" t="s">
        <v>64</v>
      </c>
      <c r="D13" s="137"/>
      <c r="E13" s="138"/>
    </row>
    <row r="14" spans="2:5" ht="16.95" customHeight="1" x14ac:dyDescent="0.25">
      <c r="B14" s="115" t="s">
        <v>71</v>
      </c>
      <c r="C14" s="123">
        <f>'Cross-section'!G6</f>
        <v>388.1502500000002</v>
      </c>
      <c r="D14" s="124"/>
      <c r="E14" s="125"/>
    </row>
    <row r="15" spans="2:5" ht="16.95" customHeight="1" x14ac:dyDescent="0.25">
      <c r="B15" s="40" t="s">
        <v>72</v>
      </c>
      <c r="C15" s="123">
        <f>'Cross-section'!G7</f>
        <v>80.25</v>
      </c>
      <c r="D15" s="124">
        <f>'Cross-section'!H7</f>
        <v>0</v>
      </c>
      <c r="E15" s="125">
        <f>'Cross-section'!I7</f>
        <v>0</v>
      </c>
    </row>
    <row r="16" spans="2:5" ht="16.95" customHeight="1" x14ac:dyDescent="0.25">
      <c r="B16" s="40" t="s">
        <v>73</v>
      </c>
      <c r="C16" s="123">
        <f>'Cross-section'!G8</f>
        <v>4.8367632398753919</v>
      </c>
      <c r="D16" s="124">
        <f>'Cross-section'!H8</f>
        <v>0</v>
      </c>
      <c r="E16" s="125">
        <f>'Cross-section'!I8</f>
        <v>0</v>
      </c>
    </row>
    <row r="17" spans="2:5" ht="16.95" customHeight="1" x14ac:dyDescent="0.25">
      <c r="B17" s="40" t="s">
        <v>74</v>
      </c>
      <c r="C17" s="123">
        <f>'Cross-section'!G9</f>
        <v>16.59167422924498</v>
      </c>
      <c r="D17" s="124">
        <f>'Cross-section'!H9</f>
        <v>0</v>
      </c>
      <c r="E17" s="125">
        <f>'Cross-section'!I9</f>
        <v>0</v>
      </c>
    </row>
    <row r="18" spans="2:5" ht="16.95" customHeight="1" x14ac:dyDescent="0.25">
      <c r="B18" s="40" t="s">
        <v>75</v>
      </c>
      <c r="C18" s="123">
        <f>'Cross-section'!G10</f>
        <v>5.9699999999999989</v>
      </c>
      <c r="D18" s="124">
        <f>'Cross-section'!H10</f>
        <v>0</v>
      </c>
      <c r="E18" s="125">
        <f>'Cross-section'!I10</f>
        <v>0</v>
      </c>
    </row>
    <row r="19" spans="2:5" ht="16.95" customHeight="1" x14ac:dyDescent="0.25">
      <c r="B19" s="40" t="s">
        <v>76</v>
      </c>
      <c r="C19" s="123">
        <f>'Cross-section'!G11</f>
        <v>1.2342965127550469</v>
      </c>
      <c r="D19" s="124">
        <f>'Cross-section'!H11</f>
        <v>0</v>
      </c>
      <c r="E19" s="125">
        <f>'Cross-section'!I11</f>
        <v>0</v>
      </c>
    </row>
    <row r="20" spans="2:5" ht="16.95" customHeight="1" x14ac:dyDescent="0.25">
      <c r="B20" s="40" t="s">
        <v>25</v>
      </c>
      <c r="C20" s="123">
        <f>'Cross-section'!G12</f>
        <v>5.98</v>
      </c>
      <c r="D20" s="124">
        <f>'Cross-section'!H12</f>
        <v>0</v>
      </c>
      <c r="E20" s="125">
        <f>'Cross-section'!I12</f>
        <v>0</v>
      </c>
    </row>
    <row r="21" spans="2:5" ht="16.95" customHeight="1" x14ac:dyDescent="0.25">
      <c r="B21" s="40" t="s">
        <v>77</v>
      </c>
      <c r="C21" s="123">
        <f>'Cross-section'!G13</f>
        <v>1.0016750418760472</v>
      </c>
      <c r="D21" s="124">
        <f>'Cross-section'!H13</f>
        <v>0</v>
      </c>
      <c r="E21" s="125">
        <f>'Cross-section'!I13</f>
        <v>0</v>
      </c>
    </row>
    <row r="22" spans="2:5" ht="16.95" customHeight="1" x14ac:dyDescent="0.25">
      <c r="B22" s="40" t="s">
        <v>78</v>
      </c>
      <c r="C22" s="123">
        <f>'Cross-section'!G14</f>
        <v>256</v>
      </c>
      <c r="D22" s="124">
        <f>'Cross-section'!H14</f>
        <v>0</v>
      </c>
      <c r="E22" s="125">
        <f>'Cross-section'!I14</f>
        <v>0</v>
      </c>
    </row>
    <row r="23" spans="2:5" ht="16.95" customHeight="1" thickBot="1" x14ac:dyDescent="0.3">
      <c r="B23" s="116" t="s">
        <v>79</v>
      </c>
      <c r="C23" s="123">
        <f>'Cross-section'!G15</f>
        <v>3.190031152647975</v>
      </c>
      <c r="D23" s="124">
        <f>'Cross-section'!H15</f>
        <v>0</v>
      </c>
      <c r="E23" s="125">
        <f>'Cross-section'!I15</f>
        <v>0</v>
      </c>
    </row>
    <row r="24" spans="2:5" ht="16.95" customHeight="1" thickTop="1" x14ac:dyDescent="0.25">
      <c r="B24" s="117" t="s">
        <v>17</v>
      </c>
      <c r="C24" s="153" t="s">
        <v>54</v>
      </c>
      <c r="D24" s="154"/>
      <c r="E24" s="155"/>
    </row>
    <row r="25" spans="2:5" ht="16.95" customHeight="1" x14ac:dyDescent="0.25">
      <c r="B25" s="40" t="s">
        <v>80</v>
      </c>
      <c r="C25" s="123">
        <f>'Cross-section'!G18</f>
        <v>735.71945143636196</v>
      </c>
      <c r="D25" s="124">
        <f>'Cross-section'!H18</f>
        <v>0</v>
      </c>
      <c r="E25" s="125">
        <f>'Cross-section'!I18</f>
        <v>0</v>
      </c>
    </row>
    <row r="26" spans="2:5" ht="16.95" customHeight="1" x14ac:dyDescent="0.25">
      <c r="B26" s="40" t="s">
        <v>81</v>
      </c>
      <c r="C26" s="123">
        <f>'Cross-section'!G19</f>
        <v>1.8954501547696068</v>
      </c>
      <c r="D26" s="124">
        <f>'Cross-section'!H19</f>
        <v>0</v>
      </c>
      <c r="E26" s="125">
        <f>'Cross-section'!I19</f>
        <v>0</v>
      </c>
    </row>
    <row r="27" spans="2:5" ht="16.95" customHeight="1" x14ac:dyDescent="0.25">
      <c r="B27" s="40" t="s">
        <v>51</v>
      </c>
      <c r="C27" s="123">
        <f>'Cross-section'!G20</f>
        <v>0.14275357707296601</v>
      </c>
      <c r="D27" s="124">
        <f>'Cross-section'!H20</f>
        <v>0</v>
      </c>
      <c r="E27" s="125">
        <f>'Cross-section'!I20</f>
        <v>0</v>
      </c>
    </row>
    <row r="28" spans="2:5" ht="16.95" customHeight="1" x14ac:dyDescent="0.25">
      <c r="B28" s="40" t="s">
        <v>82</v>
      </c>
      <c r="C28" s="123">
        <f>'Cross-section'!G21</f>
        <v>0.27058228975686843</v>
      </c>
      <c r="D28" s="124">
        <f>'Cross-section'!H21</f>
        <v>0</v>
      </c>
      <c r="E28" s="125">
        <f>'Cross-section'!I21</f>
        <v>0</v>
      </c>
    </row>
    <row r="29" spans="2:5" ht="16.95" customHeight="1" x14ac:dyDescent="0.25">
      <c r="B29" s="15" t="s">
        <v>66</v>
      </c>
      <c r="C29" s="123">
        <f>'Cross-section'!G22</f>
        <v>11.597382256453844</v>
      </c>
      <c r="D29" s="124">
        <f>'Cross-section'!H22</f>
        <v>0</v>
      </c>
      <c r="E29" s="125">
        <f>'Cross-section'!I22</f>
        <v>0</v>
      </c>
    </row>
    <row r="30" spans="2:5" ht="16.95" customHeight="1" thickBot="1" x14ac:dyDescent="0.3">
      <c r="B30" s="15" t="s">
        <v>67</v>
      </c>
      <c r="C30" s="123">
        <f>'Cross-section'!G23</f>
        <v>35.028678597299582</v>
      </c>
      <c r="D30" s="124">
        <f>'Cross-section'!H23</f>
        <v>0</v>
      </c>
      <c r="E30" s="125">
        <f>'Cross-section'!I23</f>
        <v>0</v>
      </c>
    </row>
    <row r="31" spans="2:5" ht="16.95" customHeight="1" thickTop="1" x14ac:dyDescent="0.25">
      <c r="B31" s="151" t="s">
        <v>17</v>
      </c>
      <c r="C31" s="148" t="s">
        <v>57</v>
      </c>
      <c r="D31" s="149"/>
      <c r="E31" s="150"/>
    </row>
    <row r="32" spans="2:5" ht="16.95" customHeight="1" thickBot="1" x14ac:dyDescent="0.3">
      <c r="B32" s="152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1" t="s">
        <v>17</v>
      </c>
      <c r="C39" s="148" t="s">
        <v>58</v>
      </c>
      <c r="D39" s="149"/>
      <c r="E39" s="150"/>
    </row>
    <row r="40" spans="2:5" ht="16.95" customHeight="1" thickBot="1" x14ac:dyDescent="0.3">
      <c r="B40" s="152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C1" sqref="C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71" t="s">
        <v>71</v>
      </c>
      <c r="C6" s="172"/>
      <c r="D6" s="172"/>
      <c r="E6" s="172"/>
      <c r="F6" s="173"/>
      <c r="G6" s="159">
        <f>K30</f>
        <v>388.1502500000002</v>
      </c>
      <c r="H6" s="160"/>
      <c r="I6" s="161"/>
      <c r="K6" s="5"/>
      <c r="L6" s="5"/>
    </row>
    <row r="7" spans="2:12" ht="16.5" customHeight="1" x14ac:dyDescent="0.25">
      <c r="B7" s="171" t="s">
        <v>72</v>
      </c>
      <c r="C7" s="172"/>
      <c r="D7" s="172"/>
      <c r="E7" s="172"/>
      <c r="F7" s="173"/>
      <c r="G7" s="159">
        <f t="shared" ref="G7:G15" si="0">K31</f>
        <v>80.25</v>
      </c>
      <c r="H7" s="160"/>
      <c r="I7" s="161"/>
      <c r="J7" s="12"/>
      <c r="K7" s="5"/>
      <c r="L7" s="5"/>
    </row>
    <row r="8" spans="2:12" ht="16.5" customHeight="1" x14ac:dyDescent="0.25">
      <c r="B8" s="171" t="s">
        <v>73</v>
      </c>
      <c r="C8" s="172"/>
      <c r="D8" s="172"/>
      <c r="E8" s="172"/>
      <c r="F8" s="173"/>
      <c r="G8" s="159">
        <f t="shared" si="0"/>
        <v>4.8367632398753919</v>
      </c>
      <c r="H8" s="160"/>
      <c r="I8" s="161"/>
      <c r="J8" s="12"/>
      <c r="K8" s="5"/>
      <c r="L8" s="5"/>
    </row>
    <row r="9" spans="2:12" ht="16.5" customHeight="1" x14ac:dyDescent="0.25">
      <c r="B9" s="171" t="s">
        <v>74</v>
      </c>
      <c r="C9" s="172"/>
      <c r="D9" s="172"/>
      <c r="E9" s="172"/>
      <c r="F9" s="173"/>
      <c r="G9" s="159">
        <f t="shared" si="0"/>
        <v>16.59167422924498</v>
      </c>
      <c r="H9" s="160"/>
      <c r="I9" s="161"/>
      <c r="J9" s="12"/>
      <c r="K9" s="5"/>
      <c r="L9" s="5"/>
    </row>
    <row r="10" spans="2:12" ht="16.5" customHeight="1" x14ac:dyDescent="0.25">
      <c r="B10" s="171" t="s">
        <v>75</v>
      </c>
      <c r="C10" s="172"/>
      <c r="D10" s="172"/>
      <c r="E10" s="172"/>
      <c r="F10" s="173"/>
      <c r="G10" s="159">
        <f t="shared" si="0"/>
        <v>5.9699999999999989</v>
      </c>
      <c r="H10" s="160"/>
      <c r="I10" s="161"/>
      <c r="J10" s="12"/>
      <c r="K10" s="5"/>
      <c r="L10" s="5"/>
    </row>
    <row r="11" spans="2:12" ht="16.5" customHeight="1" x14ac:dyDescent="0.25">
      <c r="B11" s="171" t="s">
        <v>76</v>
      </c>
      <c r="C11" s="172"/>
      <c r="D11" s="172"/>
      <c r="E11" s="172"/>
      <c r="F11" s="173"/>
      <c r="G11" s="159">
        <f t="shared" si="0"/>
        <v>1.2342965127550469</v>
      </c>
      <c r="H11" s="160"/>
      <c r="I11" s="161"/>
      <c r="J11" s="12"/>
      <c r="K11" s="5"/>
      <c r="L11" s="5"/>
    </row>
    <row r="12" spans="2:12" ht="16.5" customHeight="1" x14ac:dyDescent="0.25">
      <c r="B12" s="168" t="s">
        <v>25</v>
      </c>
      <c r="C12" s="169"/>
      <c r="D12" s="169"/>
      <c r="E12" s="169"/>
      <c r="F12" s="170"/>
      <c r="G12" s="159">
        <f t="shared" si="0"/>
        <v>5.98</v>
      </c>
      <c r="H12" s="160"/>
      <c r="I12" s="161"/>
      <c r="J12" s="12"/>
      <c r="K12" s="5"/>
      <c r="L12" s="5"/>
    </row>
    <row r="13" spans="2:12" ht="16.5" customHeight="1" x14ac:dyDescent="0.25">
      <c r="B13" s="168" t="s">
        <v>77</v>
      </c>
      <c r="C13" s="169"/>
      <c r="D13" s="169"/>
      <c r="E13" s="169"/>
      <c r="F13" s="170"/>
      <c r="G13" s="159">
        <f t="shared" si="0"/>
        <v>1.0016750418760472</v>
      </c>
      <c r="H13" s="160"/>
      <c r="I13" s="161"/>
      <c r="J13" s="12"/>
      <c r="K13" s="5"/>
      <c r="L13" s="5"/>
    </row>
    <row r="14" spans="2:12" ht="16.5" customHeight="1" x14ac:dyDescent="0.25">
      <c r="B14" s="165" t="s">
        <v>78</v>
      </c>
      <c r="C14" s="166"/>
      <c r="D14" s="166"/>
      <c r="E14" s="166"/>
      <c r="F14" s="167"/>
      <c r="G14" s="159">
        <f t="shared" si="0"/>
        <v>256</v>
      </c>
      <c r="H14" s="160"/>
      <c r="I14" s="161"/>
      <c r="J14" s="12"/>
      <c r="K14" s="5"/>
      <c r="L14" s="5"/>
    </row>
    <row r="15" spans="2:12" ht="16.5" customHeight="1" x14ac:dyDescent="0.25">
      <c r="B15" s="171" t="s">
        <v>79</v>
      </c>
      <c r="C15" s="172"/>
      <c r="D15" s="172"/>
      <c r="E15" s="172"/>
      <c r="F15" s="173"/>
      <c r="G15" s="159">
        <f t="shared" si="0"/>
        <v>3.190031152647975</v>
      </c>
      <c r="H15" s="160"/>
      <c r="I15" s="161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71" t="s">
        <v>80</v>
      </c>
      <c r="C18" s="172"/>
      <c r="D18" s="172"/>
      <c r="E18" s="172"/>
      <c r="F18" s="173"/>
      <c r="G18" s="156">
        <f>K44</f>
        <v>735.71945143636196</v>
      </c>
      <c r="H18" s="157"/>
      <c r="I18" s="158"/>
      <c r="K18" s="5"/>
      <c r="L18" s="5"/>
    </row>
    <row r="19" spans="2:12" ht="16.5" customHeight="1" x14ac:dyDescent="0.25">
      <c r="B19" s="171" t="s">
        <v>81</v>
      </c>
      <c r="C19" s="172"/>
      <c r="D19" s="172"/>
      <c r="E19" s="172"/>
      <c r="F19" s="173"/>
      <c r="G19" s="123">
        <f t="shared" ref="G19:G23" si="1">K45</f>
        <v>1.8954501547696068</v>
      </c>
      <c r="H19" s="124"/>
      <c r="I19" s="125"/>
      <c r="K19" s="5"/>
      <c r="L19" s="5"/>
    </row>
    <row r="20" spans="2:12" ht="16.5" customHeight="1" x14ac:dyDescent="0.25">
      <c r="B20" s="171" t="s">
        <v>82</v>
      </c>
      <c r="C20" s="172"/>
      <c r="D20" s="172"/>
      <c r="E20" s="172"/>
      <c r="F20" s="173"/>
      <c r="G20" s="123">
        <f t="shared" si="1"/>
        <v>0.14275357707296601</v>
      </c>
      <c r="H20" s="124"/>
      <c r="I20" s="125"/>
      <c r="J20" s="2"/>
      <c r="K20" s="5"/>
      <c r="L20" s="5"/>
    </row>
    <row r="21" spans="2:12" ht="16.5" customHeight="1" x14ac:dyDescent="0.25">
      <c r="B21" s="171" t="s">
        <v>49</v>
      </c>
      <c r="C21" s="172"/>
      <c r="D21" s="172"/>
      <c r="E21" s="172"/>
      <c r="F21" s="173"/>
      <c r="G21" s="123">
        <f t="shared" si="1"/>
        <v>0.27058228975686843</v>
      </c>
      <c r="H21" s="124"/>
      <c r="I21" s="125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6">
        <f t="shared" si="1"/>
        <v>11.597382256453844</v>
      </c>
      <c r="H22" s="157"/>
      <c r="I22" s="158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6">
        <f t="shared" si="1"/>
        <v>35.028678597299582</v>
      </c>
      <c r="H23" s="157"/>
      <c r="I23" s="158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/>
      <c r="E29" s="30">
        <v>100.05</v>
      </c>
      <c r="F29" s="31"/>
      <c r="G29" s="32"/>
      <c r="H29" s="31"/>
      <c r="J29" s="33" t="s">
        <v>15</v>
      </c>
      <c r="K29" s="34">
        <f>LOOKUP("LBKF",B29:E50)</f>
        <v>100.09</v>
      </c>
      <c r="L29" s="35"/>
    </row>
    <row r="30" spans="2:12" ht="16.5" customHeight="1" x14ac:dyDescent="0.25">
      <c r="B30" s="120" t="s">
        <v>2</v>
      </c>
      <c r="C30" s="121">
        <v>4.9499999999999993</v>
      </c>
      <c r="D30" s="122"/>
      <c r="E30" s="30">
        <v>100.09</v>
      </c>
      <c r="F30" s="31"/>
      <c r="G30" s="32"/>
      <c r="H30" s="31"/>
      <c r="J30" s="37" t="s">
        <v>71</v>
      </c>
      <c r="K30" s="11">
        <f>SUM(H29:H50)</f>
        <v>388.1502500000002</v>
      </c>
      <c r="L30" s="35"/>
    </row>
    <row r="31" spans="2:12" ht="16.5" customHeight="1" x14ac:dyDescent="0.25">
      <c r="B31" s="120"/>
      <c r="C31" s="121">
        <v>6.7200000000000006</v>
      </c>
      <c r="D31" s="122"/>
      <c r="E31" s="30">
        <v>99.69</v>
      </c>
      <c r="F31" s="31">
        <f t="shared" ref="F31" si="2">IF(E31&gt;0,IF(E31&lt;K$29,K$29-E31,0),0)</f>
        <v>0.40000000000000568</v>
      </c>
      <c r="G31" s="32">
        <f t="shared" ref="G31" si="3">IF(E31&gt;0,IF(E31&lt;=K$29,C31-C30,0),0)</f>
        <v>1.7700000000000014</v>
      </c>
      <c r="H31" s="31">
        <f t="shared" ref="H31" si="4">IF(E31&lt;=K$29,G31*(F30+F31)/2,0)</f>
        <v>0.35400000000000531</v>
      </c>
      <c r="J31" s="37" t="s">
        <v>72</v>
      </c>
      <c r="K31" s="11">
        <f>LOOKUP("RBKF",B29:C50)-LOOKUP("LBKF",B29:C50)</f>
        <v>80.25</v>
      </c>
      <c r="L31" s="35"/>
    </row>
    <row r="32" spans="2:12" ht="16.5" customHeight="1" x14ac:dyDescent="0.25">
      <c r="B32" s="120"/>
      <c r="C32" s="121">
        <v>11.479999999999999</v>
      </c>
      <c r="D32" s="122"/>
      <c r="E32" s="30">
        <v>96.05</v>
      </c>
      <c r="F32" s="31">
        <f t="shared" ref="F32" si="5">IF(E32&gt;0,IF(E32&lt;K$29,K$29-E32,0),0)</f>
        <v>4.0400000000000063</v>
      </c>
      <c r="G32" s="32">
        <f t="shared" ref="G32" si="6">IF(E32&gt;0,IF(E32&lt;=K$29,C32-C31,0),0)</f>
        <v>4.759999999999998</v>
      </c>
      <c r="H32" s="31">
        <f t="shared" ref="H32" si="7">IF(E32&lt;=K$29,G32*(F31+F32)/2,0)</f>
        <v>10.567200000000025</v>
      </c>
      <c r="J32" s="37" t="s">
        <v>73</v>
      </c>
      <c r="K32" s="11">
        <f>K30/K31</f>
        <v>4.8367632398753919</v>
      </c>
      <c r="L32" s="35"/>
    </row>
    <row r="33" spans="2:13" ht="16.5" customHeight="1" x14ac:dyDescent="0.25">
      <c r="B33" s="120"/>
      <c r="C33" s="121">
        <v>15.06</v>
      </c>
      <c r="D33" s="122"/>
      <c r="E33" s="30">
        <v>95.49</v>
      </c>
      <c r="F33" s="31">
        <f t="shared" ref="F33:F43" si="8">IF(E33&gt;0,IF(E33&lt;K$29,K$29-E33,0),0)</f>
        <v>4.6000000000000085</v>
      </c>
      <c r="G33" s="32">
        <f t="shared" ref="G33:G43" si="9">IF(E33&gt;0,IF(E33&lt;=K$29,C33-C32,0),0)</f>
        <v>3.5800000000000018</v>
      </c>
      <c r="H33" s="31">
        <f t="shared" ref="H33:H43" si="10">IF(E33&lt;=K$29,G33*(F32+F33)/2,0)</f>
        <v>15.465600000000034</v>
      </c>
      <c r="J33" s="37" t="s">
        <v>74</v>
      </c>
      <c r="K33" s="38">
        <f>K31/K32</f>
        <v>16.59167422924498</v>
      </c>
      <c r="L33" s="35"/>
    </row>
    <row r="34" spans="2:13" ht="16.5" customHeight="1" x14ac:dyDescent="0.25">
      <c r="B34" s="120"/>
      <c r="C34" s="121">
        <v>23.309999999999995</v>
      </c>
      <c r="D34" s="122"/>
      <c r="E34" s="30">
        <v>94.45</v>
      </c>
      <c r="F34" s="31">
        <f t="shared" si="8"/>
        <v>5.6400000000000006</v>
      </c>
      <c r="G34" s="32">
        <f t="shared" si="9"/>
        <v>8.2499999999999947</v>
      </c>
      <c r="H34" s="31">
        <f t="shared" si="10"/>
        <v>42.240000000000009</v>
      </c>
      <c r="J34" s="37" t="s">
        <v>75</v>
      </c>
      <c r="K34" s="11">
        <f>MAX(F29:F50)</f>
        <v>5.9699999999999989</v>
      </c>
      <c r="L34" s="35"/>
    </row>
    <row r="35" spans="2:13" ht="16.5" customHeight="1" x14ac:dyDescent="0.25">
      <c r="B35" s="120"/>
      <c r="C35" s="121">
        <v>33.26</v>
      </c>
      <c r="D35" s="122"/>
      <c r="E35" s="30">
        <v>94.12</v>
      </c>
      <c r="F35" s="31">
        <f t="shared" si="8"/>
        <v>5.9699999999999989</v>
      </c>
      <c r="G35" s="32">
        <f t="shared" si="9"/>
        <v>9.9500000000000028</v>
      </c>
      <c r="H35" s="31">
        <f t="shared" si="10"/>
        <v>57.759750000000011</v>
      </c>
      <c r="J35" s="37" t="s">
        <v>76</v>
      </c>
      <c r="K35" s="39">
        <f>K34/K32</f>
        <v>1.2342965127550469</v>
      </c>
      <c r="L35" s="35"/>
    </row>
    <row r="36" spans="2:13" ht="16.5" customHeight="1" x14ac:dyDescent="0.25">
      <c r="B36" s="120"/>
      <c r="C36" s="121">
        <v>44.72</v>
      </c>
      <c r="D36" s="122"/>
      <c r="E36" s="30">
        <v>94.31</v>
      </c>
      <c r="F36" s="31">
        <f t="shared" si="8"/>
        <v>5.7800000000000011</v>
      </c>
      <c r="G36" s="32">
        <f t="shared" si="9"/>
        <v>11.46</v>
      </c>
      <c r="H36" s="31">
        <f t="shared" si="10"/>
        <v>67.327500000000001</v>
      </c>
      <c r="J36" s="40" t="s">
        <v>25</v>
      </c>
      <c r="K36" s="41">
        <v>5.98</v>
      </c>
      <c r="L36" s="35"/>
    </row>
    <row r="37" spans="2:13" ht="16.5" customHeight="1" x14ac:dyDescent="0.25">
      <c r="B37" s="120"/>
      <c r="C37" s="121">
        <v>56.2</v>
      </c>
      <c r="D37" s="122"/>
      <c r="E37" s="30">
        <v>94.61</v>
      </c>
      <c r="F37" s="31">
        <f t="shared" si="8"/>
        <v>5.480000000000004</v>
      </c>
      <c r="G37" s="32">
        <f t="shared" si="9"/>
        <v>11.480000000000004</v>
      </c>
      <c r="H37" s="31">
        <f t="shared" si="10"/>
        <v>64.632400000000047</v>
      </c>
      <c r="J37" s="40" t="s">
        <v>77</v>
      </c>
      <c r="K37" s="42">
        <f>+K36/K34</f>
        <v>1.0016750418760472</v>
      </c>
      <c r="L37" s="35"/>
    </row>
    <row r="38" spans="2:13" ht="16.5" customHeight="1" x14ac:dyDescent="0.25">
      <c r="B38" s="120"/>
      <c r="C38" s="121">
        <v>66.679999999999993</v>
      </c>
      <c r="D38" s="122"/>
      <c r="E38" s="30">
        <v>94.92</v>
      </c>
      <c r="F38" s="31">
        <f t="shared" si="8"/>
        <v>5.1700000000000017</v>
      </c>
      <c r="G38" s="32">
        <f t="shared" si="9"/>
        <v>10.47999999999999</v>
      </c>
      <c r="H38" s="31">
        <f t="shared" si="10"/>
        <v>55.805999999999976</v>
      </c>
      <c r="J38" s="43" t="s">
        <v>78</v>
      </c>
      <c r="K38" s="44">
        <v>256</v>
      </c>
      <c r="L38" s="35"/>
    </row>
    <row r="39" spans="2:13" ht="16.5" customHeight="1" x14ac:dyDescent="0.25">
      <c r="B39" s="120"/>
      <c r="C39" s="121">
        <v>78.84</v>
      </c>
      <c r="D39" s="122"/>
      <c r="E39" s="30">
        <v>94.94</v>
      </c>
      <c r="F39" s="31">
        <f t="shared" si="8"/>
        <v>5.1500000000000057</v>
      </c>
      <c r="G39" s="32">
        <f t="shared" si="9"/>
        <v>12.160000000000011</v>
      </c>
      <c r="H39" s="31">
        <f t="shared" si="10"/>
        <v>62.745600000000103</v>
      </c>
      <c r="J39" s="37" t="s">
        <v>79</v>
      </c>
      <c r="K39" s="11">
        <f>K38/K31</f>
        <v>3.190031152647975</v>
      </c>
      <c r="L39" s="35"/>
    </row>
    <row r="40" spans="2:13" ht="16.5" customHeight="1" x14ac:dyDescent="0.25">
      <c r="B40" s="120"/>
      <c r="C40" s="121">
        <v>80.319999999999993</v>
      </c>
      <c r="D40" s="122"/>
      <c r="E40" s="30">
        <v>97.75</v>
      </c>
      <c r="F40" s="31">
        <f t="shared" si="8"/>
        <v>2.3400000000000034</v>
      </c>
      <c r="G40" s="32">
        <f t="shared" si="9"/>
        <v>1.4799999999999898</v>
      </c>
      <c r="H40" s="31">
        <f t="shared" si="10"/>
        <v>5.5425999999999682</v>
      </c>
      <c r="J40" s="37" t="s">
        <v>8</v>
      </c>
      <c r="K40" s="109">
        <f>+'Longitudinal Profile'!$H$9</f>
        <v>5.2999999999999998E-4</v>
      </c>
      <c r="L40" s="45"/>
    </row>
    <row r="41" spans="2:13" ht="16.5" customHeight="1" x14ac:dyDescent="0.25">
      <c r="B41" s="120" t="s">
        <v>3</v>
      </c>
      <c r="C41" s="121">
        <v>85.2</v>
      </c>
      <c r="D41" s="122"/>
      <c r="E41" s="30">
        <v>100.09</v>
      </c>
      <c r="F41" s="31">
        <f t="shared" si="8"/>
        <v>0</v>
      </c>
      <c r="G41" s="32">
        <f t="shared" si="9"/>
        <v>4.8800000000000097</v>
      </c>
      <c r="H41" s="31">
        <f t="shared" si="10"/>
        <v>5.7096000000000195</v>
      </c>
      <c r="J41" s="37" t="s">
        <v>10</v>
      </c>
      <c r="K41" s="46">
        <v>4.8000000000000001E-2</v>
      </c>
      <c r="L41" s="45"/>
    </row>
    <row r="42" spans="2:13" ht="16.5" customHeight="1" x14ac:dyDescent="0.25">
      <c r="B42" s="120"/>
      <c r="C42" s="121">
        <v>87.14</v>
      </c>
      <c r="D42" s="122"/>
      <c r="E42" s="30">
        <v>100.99</v>
      </c>
      <c r="F42" s="31">
        <f t="shared" si="8"/>
        <v>0</v>
      </c>
      <c r="G42" s="32">
        <f t="shared" si="9"/>
        <v>0</v>
      </c>
      <c r="H42" s="31">
        <f t="shared" si="10"/>
        <v>0</v>
      </c>
      <c r="J42" s="37" t="s">
        <v>27</v>
      </c>
      <c r="K42" s="14">
        <f>K31+2*K32</f>
        <v>89.923526479750791</v>
      </c>
      <c r="L42" s="47"/>
      <c r="M42" s="47"/>
    </row>
    <row r="43" spans="2:13" ht="16.5" customHeight="1" x14ac:dyDescent="0.25">
      <c r="B43" s="120"/>
      <c r="C43" s="121">
        <v>91.09</v>
      </c>
      <c r="D43" s="122"/>
      <c r="E43" s="30">
        <v>101.31</v>
      </c>
      <c r="F43" s="31">
        <f t="shared" si="8"/>
        <v>0</v>
      </c>
      <c r="G43" s="32">
        <f t="shared" si="9"/>
        <v>0</v>
      </c>
      <c r="H43" s="31">
        <f t="shared" si="10"/>
        <v>0</v>
      </c>
      <c r="J43" s="37" t="s">
        <v>9</v>
      </c>
      <c r="K43" s="14">
        <f>K30/K42</f>
        <v>4.3164482665991182</v>
      </c>
      <c r="L43" s="47"/>
      <c r="M43" s="47"/>
    </row>
    <row r="44" spans="2:13" ht="16.5" customHeight="1" x14ac:dyDescent="0.25">
      <c r="B44" s="120"/>
      <c r="C44" s="121"/>
      <c r="D44" s="122"/>
      <c r="E44" s="30"/>
      <c r="F44" s="31"/>
      <c r="G44" s="32"/>
      <c r="H44" s="31"/>
      <c r="J44" s="37" t="s">
        <v>80</v>
      </c>
      <c r="K44" s="14">
        <f>K30*1.49*(K43^0.667)*(K40^0.5)/K41</f>
        <v>735.71945143636196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1.8954501547696068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0.14275357707296601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0.27058228975686843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11.597382256453844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35.028678597299582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B1" sqref="B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f>G15</f>
        <v>0</v>
      </c>
      <c r="F6" s="179" t="s">
        <v>28</v>
      </c>
      <c r="G6" s="180"/>
      <c r="H6" s="74"/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f>C30</f>
        <v>0</v>
      </c>
      <c r="D7" s="73">
        <f>G30</f>
        <v>0</v>
      </c>
      <c r="F7" s="76" t="s">
        <v>29</v>
      </c>
      <c r="G7" s="77"/>
      <c r="H7" s="39"/>
      <c r="I7" s="67"/>
      <c r="J7" s="177" t="s">
        <v>85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5.2999999999999998E-4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6.6779999999999997E-4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v>1.26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76" t="s">
        <v>34</v>
      </c>
      <c r="I5" s="176"/>
      <c r="J5" s="176"/>
    </row>
    <row r="6" spans="2:10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