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6" i="73" l="1"/>
  <c r="E46" i="73"/>
  <c r="C46" i="73"/>
  <c r="D44" i="73"/>
  <c r="E44" i="73"/>
  <c r="C44" i="73"/>
  <c r="D42" i="73"/>
  <c r="E42" i="73"/>
  <c r="C42" i="73"/>
  <c r="D38" i="73"/>
  <c r="E38" i="73"/>
  <c r="C38" i="73"/>
  <c r="D36" i="73"/>
  <c r="E36" i="73"/>
  <c r="C36" i="73"/>
  <c r="D34" i="73"/>
  <c r="E34" i="73"/>
  <c r="C34" i="73"/>
  <c r="L31" i="70"/>
  <c r="M31" i="70"/>
  <c r="N31" i="70"/>
  <c r="L32" i="70"/>
  <c r="M32" i="70"/>
  <c r="N32" i="70"/>
  <c r="L33" i="70"/>
  <c r="M33" i="70"/>
  <c r="N33" i="70"/>
  <c r="L34" i="70"/>
  <c r="M34" i="70"/>
  <c r="N34" i="70"/>
  <c r="L35" i="70"/>
  <c r="M35" i="70"/>
  <c r="N35" i="70"/>
  <c r="L36" i="70"/>
  <c r="M36" i="70"/>
  <c r="N36" i="70"/>
  <c r="L37" i="70"/>
  <c r="M37" i="70"/>
  <c r="N37" i="70"/>
  <c r="L38" i="70"/>
  <c r="M38" i="70"/>
  <c r="N38" i="70"/>
  <c r="L39" i="70"/>
  <c r="M39" i="70"/>
  <c r="N39" i="70"/>
  <c r="L40" i="70"/>
  <c r="M40" i="70"/>
  <c r="N40" i="70"/>
  <c r="L41" i="70"/>
  <c r="M41" i="70"/>
  <c r="N41" i="70"/>
  <c r="L42" i="70"/>
  <c r="M42" i="70"/>
  <c r="N42" i="70"/>
  <c r="L43" i="70"/>
  <c r="M43" i="70"/>
  <c r="N43" i="70"/>
  <c r="F31" i="81"/>
  <c r="G31" i="81"/>
  <c r="H31" i="81"/>
  <c r="F32" i="8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F40" i="81"/>
  <c r="G40" i="81"/>
  <c r="H40" i="81"/>
  <c r="F41" i="81"/>
  <c r="G41" i="81"/>
  <c r="H41" i="81"/>
  <c r="F42" i="81"/>
  <c r="G42" i="81"/>
  <c r="H42" i="81"/>
  <c r="K29" i="81"/>
  <c r="K30" i="81"/>
  <c r="K31" i="81"/>
  <c r="K32" i="81"/>
  <c r="K42" i="81"/>
  <c r="K43" i="81"/>
  <c r="H7" i="70"/>
  <c r="H8" i="70"/>
  <c r="H9" i="70"/>
  <c r="K40" i="81"/>
  <c r="K44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G15" i="81"/>
  <c r="G6" i="81"/>
  <c r="L30" i="70"/>
  <c r="L23" i="70"/>
  <c r="M30" i="70"/>
  <c r="N30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H10" i="70"/>
  <c r="E15" i="73"/>
  <c r="C15" i="73"/>
  <c r="H11" i="70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23" i="73"/>
  <c r="D23" i="73"/>
  <c r="E23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<sst xmlns="http://schemas.openxmlformats.org/spreadsheetml/2006/main" count="180" uniqueCount="112">
  <si>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</si>
  <si>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</si>
  <si>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</si>
  <si>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</si>
  <si>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</si>
  <si>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</si>
  <si>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</si>
  <si>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</si>
  <si>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</si>
  <si>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</si>
  <si>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</si>
  <si>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</si>
  <si>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</si>
  <si>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</si>
  <si>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</si>
  <si>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</si>
  <si>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</si>
  <si>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</si>
  <si>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</si>
  <si>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</si>
  <si>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</si>
  <si>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</si>
  <si>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</si>
  <si>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</si>
  <si>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</si>
  <si>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</si>
  <si>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</si>
  <si>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</si>
  <si>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</si>
  <si>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</si>
  <si>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</si>
  <si>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</si>
  <si>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</si>
  <si>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</si>
  <si>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</si>
  <si>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</si>
  <si>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</si>
  <si>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</si>
  <si>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</si>
  <si>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</si>
  <si>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</si>
  <si>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</si>
  <si>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</si>
  <si>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</si>
  <si>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</si>
  <si>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</si>
  <si>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</si>
  <si>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</si>
  <si>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</si>
  <si>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</si>
  <si>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</si>
  <si>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</si>
  <si>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</si>
  <si>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</si>
  <si>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</si>
  <si>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</si>
  <si>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</si>
  <si>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</si>
  <si>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</si>
  <si>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</si>
  <si>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</si>
  <si>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</si>
  <si>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</si>
  <si>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</si>
  <si>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</si>
  <si>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</si>
  <si>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</si>
  <si>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</si>
  <si>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</si>
  <si>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</si>
  <si>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</si>
  <si>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</si>
  <si>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</si>
  <si>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</si>
  <si>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</si>
  <si>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</si>
  <si>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</si>
  <si>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</si>
  <si>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</si>
  <si>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</si>
  <si>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</si>
  <si>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</si>
  <si>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</si>
  <si>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</si>
  <si>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</si>
  <si>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</si>
  <si>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</si>
  <si>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</si>
  <si>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</si>
  <si>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</si>
  <si>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</si>
  <si>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</si>
  <si>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t>HRIF</t>
  </si>
  <si>
    <t>HPOOL</t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</si>
  <si>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</si>
  <si>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</si>
  <si>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</si>
  <si>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</si>
  <si>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</si>
  <si>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</si>
  <si>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</si>
  <si>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</si>
  <si>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</si>
  <si>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</si>
  <si>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</si>
  <si>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Pages Creek, Sumter National Forest</t>
  </si>
  <si>
    <t>34.410620, -81.689626</t>
  </si>
  <si>
    <t>Pages Creek</t>
  </si>
  <si>
    <t>sand</t>
  </si>
  <si>
    <t>&gt;190</t>
  </si>
  <si>
    <t>&gt;10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</si>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</sst>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6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21.419999999999998</c:v>
                </c:pt>
                <c:pt idx="2">
                  <c:v>21.5</c:v>
                </c:pt>
                <c:pt idx="3">
                  <c:v>22.939999999999998</c:v>
                </c:pt>
                <c:pt idx="4">
                  <c:v>23.88</c:v>
                </c:pt>
                <c:pt idx="5">
                  <c:v>25.05</c:v>
                </c:pt>
                <c:pt idx="6">
                  <c:v>26.7</c:v>
                </c:pt>
                <c:pt idx="7">
                  <c:v>29.55</c:v>
                </c:pt>
                <c:pt idx="8">
                  <c:v>32.130000000000003</c:v>
                </c:pt>
                <c:pt idx="9">
                  <c:v>33.03</c:v>
                </c:pt>
                <c:pt idx="10">
                  <c:v>35.25</c:v>
                </c:pt>
                <c:pt idx="11">
                  <c:v>36.82</c:v>
                </c:pt>
                <c:pt idx="12">
                  <c:v>38.5</c:v>
                </c:pt>
                <c:pt idx="13">
                  <c:v>40.540000000000006</c:v>
                </c:pt>
                <c:pt idx="14">
                  <c:v>45.18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99.17</c:v>
                </c:pt>
                <c:pt idx="1">
                  <c:v>99.68</c:v>
                </c:pt>
                <c:pt idx="2">
                  <c:v>99.62</c:v>
                </c:pt>
                <c:pt idx="3">
                  <c:v>99.24</c:v>
                </c:pt>
                <c:pt idx="4">
                  <c:v>98.69</c:v>
                </c:pt>
                <c:pt idx="5">
                  <c:v>97.29</c:v>
                </c:pt>
                <c:pt idx="6">
                  <c:v>97.04</c:v>
                </c:pt>
                <c:pt idx="7">
                  <c:v>97.24</c:v>
                </c:pt>
                <c:pt idx="8">
                  <c:v>97.1</c:v>
                </c:pt>
                <c:pt idx="9">
                  <c:v>97.4</c:v>
                </c:pt>
                <c:pt idx="10">
                  <c:v>97.56</c:v>
                </c:pt>
                <c:pt idx="11">
                  <c:v>98.84</c:v>
                </c:pt>
                <c:pt idx="12">
                  <c:v>99.28</c:v>
                </c:pt>
                <c:pt idx="13">
                  <c:v>99.62</c:v>
                </c:pt>
                <c:pt idx="14">
                  <c:v>99.48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3522392"/>
        <c:axId val="189085384"/>
      </c:scatterChart>
      <c:valAx>
        <c:axId val="19352239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89085384"/>
        <c:crosses val="autoZero"/>
        <c:crossBetween val="midCat"/>
      </c:valAx>
      <c:valAx>
        <c:axId val="1890853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9352239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13.68</c:v>
                </c:pt>
                <c:pt idx="2">
                  <c:v>41.97</c:v>
                </c:pt>
                <c:pt idx="3">
                  <c:v>51.93</c:v>
                </c:pt>
                <c:pt idx="4">
                  <c:v>58.25</c:v>
                </c:pt>
                <c:pt idx="5">
                  <c:v>72.16</c:v>
                </c:pt>
                <c:pt idx="6">
                  <c:v>92.36</c:v>
                </c:pt>
                <c:pt idx="7">
                  <c:v>93.85</c:v>
                </c:pt>
                <c:pt idx="8">
                  <c:v>99.81</c:v>
                </c:pt>
                <c:pt idx="9">
                  <c:v>105.99</c:v>
                </c:pt>
                <c:pt idx="10">
                  <c:v>115</c:v>
                </c:pt>
                <c:pt idx="11">
                  <c:v>122.2</c:v>
                </c:pt>
                <c:pt idx="12">
                  <c:v>129.93</c:v>
                </c:pt>
                <c:pt idx="13">
                  <c:v>137.53</c:v>
                </c:pt>
                <c:pt idx="14">
                  <c:v>147.1</c:v>
                </c:pt>
                <c:pt idx="15">
                  <c:v>170.44</c:v>
                </c:pt>
                <c:pt idx="16">
                  <c:v>189.25</c:v>
                </c:pt>
                <c:pt idx="17">
                  <c:v>204.46</c:v>
                </c:pt>
                <c:pt idx="18">
                  <c:v>212.75</c:v>
                </c:pt>
                <c:pt idx="19">
                  <c:v>220.05</c:v>
                </c:pt>
                <c:pt idx="20">
                  <c:v>228.36</c:v>
                </c:pt>
                <c:pt idx="21">
                  <c:v>233.4</c:v>
                </c:pt>
                <c:pt idx="22">
                  <c:v>240.02</c:v>
                </c:pt>
                <c:pt idx="23">
                  <c:v>255.28</c:v>
                </c:pt>
                <c:pt idx="24">
                  <c:v>268.43</c:v>
                </c:pt>
                <c:pt idx="25">
                  <c:v>292.64</c:v>
                </c:pt>
                <c:pt idx="26">
                  <c:v>304.47000000000003</c:v>
                </c:pt>
                <c:pt idx="27">
                  <c:v>315.56</c:v>
                </c:pt>
                <c:pt idx="28">
                  <c:v>324.57</c:v>
                </c:pt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  <c:pt idx="0">
                  <c:v>97.67</c:v>
                </c:pt>
                <c:pt idx="1">
                  <c:v>97.6</c:v>
                </c:pt>
                <c:pt idx="2">
                  <c:v>97.6</c:v>
                </c:pt>
                <c:pt idx="3">
                  <c:v>96.58</c:v>
                </c:pt>
                <c:pt idx="4">
                  <c:v>96</c:v>
                </c:pt>
                <c:pt idx="5">
                  <c:v>97.54</c:v>
                </c:pt>
                <c:pt idx="6">
                  <c:v>97.53</c:v>
                </c:pt>
                <c:pt idx="7">
                  <c:v>97.16</c:v>
                </c:pt>
                <c:pt idx="8">
                  <c:v>96.89</c:v>
                </c:pt>
                <c:pt idx="9">
                  <c:v>97.29</c:v>
                </c:pt>
                <c:pt idx="10">
                  <c:v>96.68</c:v>
                </c:pt>
                <c:pt idx="11">
                  <c:v>97.27</c:v>
                </c:pt>
                <c:pt idx="12">
                  <c:v>97.21</c:v>
                </c:pt>
                <c:pt idx="13">
                  <c:v>97.42</c:v>
                </c:pt>
                <c:pt idx="14">
                  <c:v>97.39</c:v>
                </c:pt>
                <c:pt idx="15">
                  <c:v>97.2</c:v>
                </c:pt>
                <c:pt idx="16">
                  <c:v>97.21</c:v>
                </c:pt>
                <c:pt idx="17">
                  <c:v>97.1</c:v>
                </c:pt>
                <c:pt idx="18">
                  <c:v>96.98</c:v>
                </c:pt>
                <c:pt idx="19">
                  <c:v>97.04</c:v>
                </c:pt>
                <c:pt idx="20">
                  <c:v>96.66</c:v>
                </c:pt>
                <c:pt idx="21">
                  <c:v>97.07</c:v>
                </c:pt>
                <c:pt idx="22">
                  <c:v>97.12</c:v>
                </c:pt>
                <c:pt idx="23">
                  <c:v>96.89</c:v>
                </c:pt>
                <c:pt idx="24">
                  <c:v>97.01</c:v>
                </c:pt>
                <c:pt idx="25">
                  <c:v>96.9</c:v>
                </c:pt>
                <c:pt idx="26">
                  <c:v>96.51</c:v>
                </c:pt>
                <c:pt idx="27">
                  <c:v>96.45</c:v>
                </c:pt>
                <c:pt idx="28">
                  <c:v>96.85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  <c:pt idx="0">
                  <c:v>0</c:v>
                </c:pt>
                <c:pt idx="1">
                  <c:v>13.68</c:v>
                </c:pt>
                <c:pt idx="2">
                  <c:v>41.97</c:v>
                </c:pt>
                <c:pt idx="3">
                  <c:v>51.93</c:v>
                </c:pt>
                <c:pt idx="4">
                  <c:v>58.25</c:v>
                </c:pt>
                <c:pt idx="5">
                  <c:v>72.16</c:v>
                </c:pt>
                <c:pt idx="6">
                  <c:v>92.36</c:v>
                </c:pt>
                <c:pt idx="7">
                  <c:v>93.85</c:v>
                </c:pt>
                <c:pt idx="8">
                  <c:v>99.81</c:v>
                </c:pt>
                <c:pt idx="9">
                  <c:v>105.99</c:v>
                </c:pt>
                <c:pt idx="10">
                  <c:v>115</c:v>
                </c:pt>
                <c:pt idx="11">
                  <c:v>122.2</c:v>
                </c:pt>
                <c:pt idx="12">
                  <c:v>129.93</c:v>
                </c:pt>
                <c:pt idx="13">
                  <c:v>137.53</c:v>
                </c:pt>
                <c:pt idx="14">
                  <c:v>147.1</c:v>
                </c:pt>
                <c:pt idx="15">
                  <c:v>170.44</c:v>
                </c:pt>
                <c:pt idx="16">
                  <c:v>189.25</c:v>
                </c:pt>
                <c:pt idx="17">
                  <c:v>204.46</c:v>
                </c:pt>
                <c:pt idx="18">
                  <c:v>212.75</c:v>
                </c:pt>
                <c:pt idx="19">
                  <c:v>220.05</c:v>
                </c:pt>
                <c:pt idx="20">
                  <c:v>228.36</c:v>
                </c:pt>
                <c:pt idx="21">
                  <c:v>233.4</c:v>
                </c:pt>
                <c:pt idx="22">
                  <c:v>240.02</c:v>
                </c:pt>
                <c:pt idx="23">
                  <c:v>255.28</c:v>
                </c:pt>
                <c:pt idx="24">
                  <c:v>268.43</c:v>
                </c:pt>
                <c:pt idx="25">
                  <c:v>292.64</c:v>
                </c:pt>
                <c:pt idx="26">
                  <c:v>304.47000000000003</c:v>
                </c:pt>
                <c:pt idx="27">
                  <c:v>315.56</c:v>
                </c:pt>
                <c:pt idx="28">
                  <c:v>324.57</c:v>
                </c:pt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  <c:pt idx="0">
                  <c:v>97.92</c:v>
                </c:pt>
                <c:pt idx="1">
                  <c:v>97.82</c:v>
                </c:pt>
                <c:pt idx="2">
                  <c:v>97.69</c:v>
                </c:pt>
                <c:pt idx="4">
                  <c:v>97.71</c:v>
                </c:pt>
                <c:pt idx="5">
                  <c:v>97.71</c:v>
                </c:pt>
                <c:pt idx="6">
                  <c:v>97.62</c:v>
                </c:pt>
                <c:pt idx="10">
                  <c:v>97.63</c:v>
                </c:pt>
                <c:pt idx="12">
                  <c:v>97.63</c:v>
                </c:pt>
                <c:pt idx="14">
                  <c:v>97.59</c:v>
                </c:pt>
                <c:pt idx="15">
                  <c:v>97.5</c:v>
                </c:pt>
                <c:pt idx="16">
                  <c:v>97.49</c:v>
                </c:pt>
                <c:pt idx="18">
                  <c:v>97.39</c:v>
                </c:pt>
                <c:pt idx="20">
                  <c:v>97.42</c:v>
                </c:pt>
                <c:pt idx="21">
                  <c:v>97.41</c:v>
                </c:pt>
                <c:pt idx="22">
                  <c:v>97.37</c:v>
                </c:pt>
                <c:pt idx="23">
                  <c:v>97.3</c:v>
                </c:pt>
                <c:pt idx="25">
                  <c:v>97.08</c:v>
                </c:pt>
                <c:pt idx="26">
                  <c:v>97.04</c:v>
                </c:pt>
                <c:pt idx="28">
                  <c:v>97.02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3697448"/>
        <c:axId val="19372024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  <c:pt idx="0">
                        <c:v>0</c:v>
                      </c:pt>
                      <c:pt idx="1">
                        <c:v>13.68</c:v>
                      </c:pt>
                      <c:pt idx="2">
                        <c:v>41.97</c:v>
                      </c:pt>
                      <c:pt idx="3">
                        <c:v>51.93</c:v>
                      </c:pt>
                      <c:pt idx="4">
                        <c:v>58.25</c:v>
                      </c:pt>
                      <c:pt idx="5">
                        <c:v>72.16</c:v>
                      </c:pt>
                      <c:pt idx="6">
                        <c:v>92.36</c:v>
                      </c:pt>
                      <c:pt idx="7">
                        <c:v>93.85</c:v>
                      </c:pt>
                      <c:pt idx="8">
                        <c:v>99.81</c:v>
                      </c:pt>
                      <c:pt idx="9">
                        <c:v>105.99</c:v>
                      </c:pt>
                      <c:pt idx="10">
                        <c:v>115</c:v>
                      </c:pt>
                      <c:pt idx="11">
                        <c:v>122.2</c:v>
                      </c:pt>
                      <c:pt idx="12">
                        <c:v>129.93</c:v>
                      </c:pt>
                      <c:pt idx="13">
                        <c:v>137.53</c:v>
                      </c:pt>
                      <c:pt idx="14">
                        <c:v>147.1</c:v>
                      </c:pt>
                      <c:pt idx="15">
                        <c:v>170.44</c:v>
                      </c:pt>
                      <c:pt idx="16">
                        <c:v>189.25</c:v>
                      </c:pt>
                      <c:pt idx="17">
                        <c:v>204.46</c:v>
                      </c:pt>
                      <c:pt idx="18">
                        <c:v>212.75</c:v>
                      </c:pt>
                      <c:pt idx="19">
                        <c:v>220.05</c:v>
                      </c:pt>
                      <c:pt idx="20">
                        <c:v>228.36</c:v>
                      </c:pt>
                      <c:pt idx="21">
                        <c:v>233.4</c:v>
                      </c:pt>
                      <c:pt idx="22">
                        <c:v>240.02</c:v>
                      </c:pt>
                      <c:pt idx="23">
                        <c:v>255.28</c:v>
                      </c:pt>
                      <c:pt idx="24">
                        <c:v>268.43</c:v>
                      </c:pt>
                      <c:pt idx="25">
                        <c:v>292.64</c:v>
                      </c:pt>
                      <c:pt idx="26">
                        <c:v>304.47000000000003</c:v>
                      </c:pt>
                      <c:pt idx="27">
                        <c:v>315.56</c:v>
                      </c:pt>
                      <c:pt idx="28">
                        <c:v>324.57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  <c:pt idx="0">
                        <c:v>0</c:v>
                      </c:pt>
                      <c:pt idx="1">
                        <c:v>13.68</c:v>
                      </c:pt>
                      <c:pt idx="2">
                        <c:v>41.97</c:v>
                      </c:pt>
                      <c:pt idx="3">
                        <c:v>51.93</c:v>
                      </c:pt>
                      <c:pt idx="4">
                        <c:v>58.25</c:v>
                      </c:pt>
                      <c:pt idx="5">
                        <c:v>72.16</c:v>
                      </c:pt>
                      <c:pt idx="6">
                        <c:v>92.36</c:v>
                      </c:pt>
                      <c:pt idx="7">
                        <c:v>93.85</c:v>
                      </c:pt>
                      <c:pt idx="8">
                        <c:v>99.81</c:v>
                      </c:pt>
                      <c:pt idx="9">
                        <c:v>105.99</c:v>
                      </c:pt>
                      <c:pt idx="10">
                        <c:v>115</c:v>
                      </c:pt>
                      <c:pt idx="11">
                        <c:v>122.2</c:v>
                      </c:pt>
                      <c:pt idx="12">
                        <c:v>129.93</c:v>
                      </c:pt>
                      <c:pt idx="13">
                        <c:v>137.53</c:v>
                      </c:pt>
                      <c:pt idx="14">
                        <c:v>147.1</c:v>
                      </c:pt>
                      <c:pt idx="15">
                        <c:v>170.44</c:v>
                      </c:pt>
                      <c:pt idx="16">
                        <c:v>189.25</c:v>
                      </c:pt>
                      <c:pt idx="17">
                        <c:v>204.46</c:v>
                      </c:pt>
                      <c:pt idx="18">
                        <c:v>212.75</c:v>
                      </c:pt>
                      <c:pt idx="19">
                        <c:v>220.05</c:v>
                      </c:pt>
                      <c:pt idx="20">
                        <c:v>228.36</c:v>
                      </c:pt>
                      <c:pt idx="21">
                        <c:v>233.4</c:v>
                      </c:pt>
                      <c:pt idx="22">
                        <c:v>240.02</c:v>
                      </c:pt>
                      <c:pt idx="23">
                        <c:v>255.28</c:v>
                      </c:pt>
                      <c:pt idx="24">
                        <c:v>268.43</c:v>
                      </c:pt>
                      <c:pt idx="25">
                        <c:v>292.64</c:v>
                      </c:pt>
                      <c:pt idx="26">
                        <c:v>304.47000000000003</c:v>
                      </c:pt>
                      <c:pt idx="27">
                        <c:v>315.56</c:v>
                      </c:pt>
                      <c:pt idx="28">
                        <c:v>324.57</c:v>
                      </c:pt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 xmlns:c15="http://schemas.microsoft.com/office/drawing/2012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93697448"/>
        <c:scaling>
          <c:orientation val="minMax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93720240"/>
        <c:crosses val="autoZero"/>
        <c:crossBetween val="midCat"/>
        <c:minorUnit val="25"/>
      </c:valAx>
      <c:valAx>
        <c:axId val="19372024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9369744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8" customFormat="1" ht="16.95" customHeight="1" x14ac:dyDescent="0.25">
      <c r="B1" s="108" t="s">
        <v>105</v>
      </c>
      <c r="C1" s="109">
        <v>43810</v>
      </c>
      <c r="D1" s="104"/>
      <c r="E1" s="110" t="s">
        <v>106</v>
      </c>
    </row>
    <row r="2" spans="2:5" ht="16.95" customHeight="1" x14ac:dyDescent="0.25">
      <c r="B2" s="111" t="s">
        <v>65</v>
      </c>
    </row>
    <row r="3" spans="2:5" ht="16.95" customHeight="1" x14ac:dyDescent="0.25">
      <c r="B3" s="103" t="s">
        <v>16</v>
      </c>
      <c r="C3" s="104"/>
    </row>
    <row r="4" spans="2:5" ht="16.95" customHeight="1" x14ac:dyDescent="0.25">
      <c r="B4" s="59"/>
    </row>
    <row r="5" spans="2:5" ht="16.95" customHeight="1" thickBot="1" x14ac:dyDescent="0.3">
      <c r="B5" s="112" t="s">
        <v>17</v>
      </c>
      <c r="C5" s="132" t="s">
        <v>50</v>
      </c>
      <c r="D5" s="132"/>
      <c r="E5" s="132"/>
    </row>
    <row r="6" spans="2:5" ht="16.95" customHeight="1" thickTop="1" x14ac:dyDescent="0.25">
      <c r="B6" s="15" t="s">
        <v>60</v>
      </c>
      <c r="C6" s="133" t="s">
        <v>107</v>
      </c>
      <c r="D6" s="134"/>
      <c r="E6" s="135"/>
    </row>
    <row r="7" spans="2:5" ht="16.95" customHeight="1" x14ac:dyDescent="0.25">
      <c r="B7" s="15" t="s">
        <v>59</v>
      </c>
      <c r="C7" s="136" t="s">
        <v>111</v>
      </c>
      <c r="D7" s="137"/>
      <c r="E7" s="138"/>
    </row>
    <row r="8" spans="2:5" ht="16.95" customHeight="1" x14ac:dyDescent="0.25">
      <c r="B8" s="15" t="s">
        <v>21</v>
      </c>
      <c r="C8" s="139">
        <v>2.02</v>
      </c>
      <c r="D8" s="140"/>
      <c r="E8" s="141"/>
    </row>
    <row r="9" spans="2:5" ht="16.95" customHeight="1" x14ac:dyDescent="0.25">
      <c r="B9" s="15" t="s">
        <v>88</v>
      </c>
      <c r="C9" s="151" t="s">
        <v>108</v>
      </c>
      <c r="D9" s="152"/>
      <c r="E9" s="153"/>
    </row>
    <row r="10" spans="2:5" ht="16.95" customHeight="1" x14ac:dyDescent="0.25">
      <c r="B10" s="15" t="s">
        <v>52</v>
      </c>
      <c r="C10" s="145">
        <f>'Longitudinal Profile'!H9</f>
        <v>2.7726432532347678E-3</v>
      </c>
      <c r="D10" s="146"/>
      <c r="E10" s="147"/>
    </row>
    <row r="11" spans="2:5" ht="16.95" customHeight="1" x14ac:dyDescent="0.25">
      <c r="B11" s="15" t="s">
        <v>53</v>
      </c>
      <c r="C11" s="154">
        <f>'Longitudinal Profile'!H11</f>
        <v>1.2880952380952382</v>
      </c>
      <c r="D11" s="155"/>
      <c r="E11" s="156"/>
    </row>
    <row r="12" spans="2:5" ht="16.95" customHeight="1" thickBot="1" x14ac:dyDescent="0.3">
      <c r="B12" s="15" t="s">
        <v>23</v>
      </c>
      <c r="C12" s="148">
        <f>'Longitudinal Profile'!H7</f>
        <v>324.60000000000002</v>
      </c>
      <c r="D12" s="149"/>
      <c r="E12" s="150"/>
    </row>
    <row r="13" spans="2:5" ht="16.95" customHeight="1" thickTop="1" x14ac:dyDescent="0.25">
      <c r="B13" s="115" t="s">
        <v>17</v>
      </c>
      <c r="C13" s="142" t="s">
        <v>64</v>
      </c>
      <c r="D13" s="143"/>
      <c r="E13" s="144"/>
    </row>
    <row r="14" spans="2:5" ht="16.95" customHeight="1" x14ac:dyDescent="0.25">
      <c r="B14" s="113" t="s">
        <v>71</v>
      </c>
      <c r="C14" s="129">
        <f>'Cross-section'!G6</f>
        <v>30.63695000000007</v>
      </c>
      <c r="D14" s="130"/>
      <c r="E14" s="131"/>
    </row>
    <row r="15" spans="2:5" ht="16.95" customHeight="1" x14ac:dyDescent="0.25">
      <c r="B15" s="40" t="s">
        <v>72</v>
      </c>
      <c r="C15" s="129">
        <f>'Cross-section'!G7</f>
        <v>19.040000000000006</v>
      </c>
      <c r="D15" s="130">
        <f>'Cross-section'!H7</f>
        <v>0</v>
      </c>
      <c r="E15" s="131">
        <f>'Cross-section'!I7</f>
        <v>0</v>
      </c>
    </row>
    <row r="16" spans="2:5" ht="16.95" customHeight="1" x14ac:dyDescent="0.25">
      <c r="B16" s="40" t="s">
        <v>73</v>
      </c>
      <c r="C16" s="129">
        <f>'Cross-section'!G8</f>
        <v>1.6090835084033646</v>
      </c>
      <c r="D16" s="130">
        <f>'Cross-section'!H8</f>
        <v>0</v>
      </c>
      <c r="E16" s="131">
        <f>'Cross-section'!I8</f>
        <v>0</v>
      </c>
    </row>
    <row r="17" spans="2:5" ht="16.95" customHeight="1" x14ac:dyDescent="0.25">
      <c r="B17" s="40" t="s">
        <v>74</v>
      </c>
      <c r="C17" s="129">
        <f>'Cross-section'!G9</f>
        <v>11.832822784252329</v>
      </c>
      <c r="D17" s="130">
        <f>'Cross-section'!H9</f>
        <v>0</v>
      </c>
      <c r="E17" s="131">
        <f>'Cross-section'!I9</f>
        <v>0</v>
      </c>
    </row>
    <row r="18" spans="2:5" ht="16.95" customHeight="1" x14ac:dyDescent="0.25">
      <c r="B18" s="40" t="s">
        <v>75</v>
      </c>
      <c r="C18" s="129">
        <f>'Cross-section'!G10</f>
        <v>2.5799999999999983</v>
      </c>
      <c r="D18" s="130">
        <f>'Cross-section'!H10</f>
        <v>0</v>
      </c>
      <c r="E18" s="131">
        <f>'Cross-section'!I10</f>
        <v>0</v>
      </c>
    </row>
    <row r="19" spans="2:5" ht="16.95" customHeight="1" x14ac:dyDescent="0.25">
      <c r="B19" s="40" t="s">
        <v>76</v>
      </c>
      <c r="C19" s="129">
        <f>'Cross-section'!G11</f>
        <v>1.60339720500898</v>
      </c>
      <c r="D19" s="130">
        <f>'Cross-section'!H11</f>
        <v>0</v>
      </c>
      <c r="E19" s="131">
        <f>'Cross-section'!I11</f>
        <v>0</v>
      </c>
    </row>
    <row r="20" spans="2:5" ht="16.95" customHeight="1" x14ac:dyDescent="0.25">
      <c r="B20" s="40" t="s">
        <v>25</v>
      </c>
      <c r="C20" s="129">
        <f>'Cross-section'!G12</f>
        <v>2.58</v>
      </c>
      <c r="D20" s="130">
        <f>'Cross-section'!H12</f>
        <v>0</v>
      </c>
      <c r="E20" s="131">
        <f>'Cross-section'!I12</f>
        <v>0</v>
      </c>
    </row>
    <row r="21" spans="2:5" ht="16.95" customHeight="1" x14ac:dyDescent="0.25">
      <c r="B21" s="40" t="s">
        <v>77</v>
      </c>
      <c r="C21" s="129">
        <f>'Cross-section'!G13</f>
        <v>1.0000000000000007</v>
      </c>
      <c r="D21" s="130">
        <f>'Cross-section'!H13</f>
        <v>0</v>
      </c>
      <c r="E21" s="131">
        <f>'Cross-section'!I13</f>
        <v>0</v>
      </c>
    </row>
    <row r="22" spans="2:5" ht="16.95" customHeight="1" x14ac:dyDescent="0.25">
      <c r="B22" s="40" t="s">
        <v>78</v>
      </c>
      <c r="C22" s="129" t="str">
        <f>'Cross-section'!G14</f>
        <v>&gt;190</v>
      </c>
      <c r="D22" s="130">
        <f>'Cross-section'!H14</f>
        <v>0</v>
      </c>
      <c r="E22" s="131">
        <f>'Cross-section'!I14</f>
        <v>0</v>
      </c>
    </row>
    <row r="23" spans="2:5" ht="16.95" customHeight="1" thickBot="1" x14ac:dyDescent="0.3">
      <c r="B23" s="114" t="s">
        <v>79</v>
      </c>
      <c r="C23" s="129" t="str">
        <f>'Cross-section'!G15</f>
        <v>&gt;10</v>
      </c>
      <c r="D23" s="130">
        <f>'Cross-section'!H15</f>
        <v>0</v>
      </c>
      <c r="E23" s="131">
        <f>'Cross-section'!I15</f>
        <v>0</v>
      </c>
    </row>
    <row r="24" spans="2:5" ht="16.95" customHeight="1" thickTop="1" x14ac:dyDescent="0.25">
      <c r="B24" s="115" t="s">
        <v>17</v>
      </c>
      <c r="C24" s="126" t="s">
        <v>54</v>
      </c>
      <c r="D24" s="127"/>
      <c r="E24" s="128"/>
    </row>
    <row r="25" spans="2:5" ht="16.95" customHeight="1" x14ac:dyDescent="0.25">
      <c r="B25" s="40" t="s">
        <v>80</v>
      </c>
      <c r="C25" s="129">
        <f>'Cross-section'!G18</f>
        <v>57.203919771826904</v>
      </c>
      <c r="D25" s="130">
        <f>'Cross-section'!H18</f>
        <v>0</v>
      </c>
      <c r="E25" s="131">
        <f>'Cross-section'!I18</f>
        <v>0</v>
      </c>
    </row>
    <row r="26" spans="2:5" ht="16.95" customHeight="1" x14ac:dyDescent="0.25">
      <c r="B26" s="40" t="s">
        <v>81</v>
      </c>
      <c r="C26" s="129">
        <f>'Cross-section'!G19</f>
        <v>1.8671545232742415</v>
      </c>
      <c r="D26" s="130">
        <f>'Cross-section'!H19</f>
        <v>0</v>
      </c>
      <c r="E26" s="131">
        <f>'Cross-section'!I19</f>
        <v>0</v>
      </c>
    </row>
    <row r="27" spans="2:5" ht="16.95" customHeight="1" x14ac:dyDescent="0.25">
      <c r="B27" s="40" t="s">
        <v>51</v>
      </c>
      <c r="C27" s="129">
        <f>'Cross-section'!G20</f>
        <v>0.23814129696979755</v>
      </c>
      <c r="D27" s="130">
        <f>'Cross-section'!H20</f>
        <v>0</v>
      </c>
      <c r="E27" s="131">
        <f>'Cross-section'!I20</f>
        <v>0</v>
      </c>
    </row>
    <row r="28" spans="2:5" ht="16.95" customHeight="1" x14ac:dyDescent="0.25">
      <c r="B28" s="40" t="s">
        <v>82</v>
      </c>
      <c r="C28" s="129">
        <f>'Cross-section'!G21</f>
        <v>0.44464659981555194</v>
      </c>
      <c r="D28" s="130">
        <f>'Cross-section'!H21</f>
        <v>0</v>
      </c>
      <c r="E28" s="131">
        <f>'Cross-section'!I21</f>
        <v>0</v>
      </c>
    </row>
    <row r="29" spans="2:5" ht="16.95" customHeight="1" x14ac:dyDescent="0.25">
      <c r="B29" s="15" t="s">
        <v>66</v>
      </c>
      <c r="C29" s="129">
        <f>'Cross-section'!G22</f>
        <v>19.346735182648221</v>
      </c>
      <c r="D29" s="130">
        <f>'Cross-section'!H22</f>
        <v>0</v>
      </c>
      <c r="E29" s="131">
        <f>'Cross-section'!I22</f>
        <v>0</v>
      </c>
    </row>
    <row r="30" spans="2:5" ht="16.95" customHeight="1" thickBot="1" x14ac:dyDescent="0.3">
      <c r="B30" s="15" t="s">
        <v>67</v>
      </c>
      <c r="C30" s="129">
        <f>'Cross-section'!G23</f>
        <v>58.434787578285032</v>
      </c>
      <c r="D30" s="130">
        <f>'Cross-section'!H23</f>
        <v>0</v>
      </c>
      <c r="E30" s="131">
        <f>'Cross-section'!I23</f>
        <v>0</v>
      </c>
    </row>
    <row r="31" spans="2:5" ht="16.95" customHeight="1" thickTop="1" x14ac:dyDescent="0.25">
      <c r="B31" s="124" t="s">
        <v>17</v>
      </c>
      <c r="C31" s="121" t="s">
        <v>57</v>
      </c>
      <c r="D31" s="122"/>
      <c r="E31" s="123"/>
    </row>
    <row r="32" spans="2:5" ht="16.95" customHeight="1" thickBot="1" x14ac:dyDescent="0.3">
      <c r="B32" s="125"/>
      <c r="C32" s="116" t="s">
        <v>18</v>
      </c>
      <c r="D32" s="116" t="s">
        <v>19</v>
      </c>
      <c r="E32" s="116" t="s">
        <v>20</v>
      </c>
    </row>
    <row r="33" spans="2:5" ht="16.95" customHeight="1" thickTop="1" x14ac:dyDescent="0.25">
      <c r="B33" s="40" t="s">
        <v>86</v>
      </c>
      <c r="C33" s="13">
        <f>'Planform Geometry'!H7</f>
        <v>108</v>
      </c>
      <c r="D33" s="13">
        <f>'Planform Geometry'!I7</f>
        <v>110</v>
      </c>
      <c r="E33" s="13">
        <f>'Planform Geometry'!J7</f>
        <v>123</v>
      </c>
    </row>
    <row r="34" spans="2:5" ht="16.95" customHeight="1" x14ac:dyDescent="0.25">
      <c r="B34" s="40" t="s">
        <v>94</v>
      </c>
      <c r="C34" s="14">
        <f>C33/$C$15</f>
        <v>5.6722689075630237</v>
      </c>
      <c r="D34" s="14">
        <f t="shared" ref="D34:E34" si="0">D33/$C$15</f>
        <v>5.777310924369746</v>
      </c>
      <c r="E34" s="14">
        <f t="shared" si="0"/>
        <v>6.4600840336134429</v>
      </c>
    </row>
    <row r="35" spans="2:5" ht="16.95" customHeight="1" x14ac:dyDescent="0.25">
      <c r="B35" s="40" t="s">
        <v>26</v>
      </c>
      <c r="C35" s="13">
        <f>+'Planform Geometry'!H8</f>
        <v>23</v>
      </c>
      <c r="D35" s="13">
        <f>+'Planform Geometry'!I8</f>
        <v>45.5</v>
      </c>
      <c r="E35" s="13">
        <f>+'Planform Geometry'!J8</f>
        <v>51</v>
      </c>
    </row>
    <row r="36" spans="2:5" ht="16.95" customHeight="1" x14ac:dyDescent="0.25">
      <c r="B36" s="40" t="s">
        <v>95</v>
      </c>
      <c r="C36" s="14">
        <f>C35/$C$15</f>
        <v>1.2079831932773106</v>
      </c>
      <c r="D36" s="14">
        <f t="shared" ref="D36:E36" si="1">D35/$C$15</f>
        <v>2.3897058823529402</v>
      </c>
      <c r="E36" s="14">
        <f t="shared" si="1"/>
        <v>2.6785714285714275</v>
      </c>
    </row>
    <row r="37" spans="2:5" ht="16.95" customHeight="1" x14ac:dyDescent="0.25">
      <c r="B37" s="40" t="s">
        <v>87</v>
      </c>
      <c r="C37" s="13">
        <f>+'Planform Geometry'!H9</f>
        <v>31</v>
      </c>
      <c r="D37" s="13">
        <f>+'Planform Geometry'!I9</f>
        <v>45</v>
      </c>
      <c r="E37" s="13">
        <f>+'Planform Geometry'!J9</f>
        <v>51</v>
      </c>
    </row>
    <row r="38" spans="2:5" ht="16.95" customHeight="1" thickBot="1" x14ac:dyDescent="0.3">
      <c r="B38" s="114" t="s">
        <v>96</v>
      </c>
      <c r="C38" s="14">
        <f>C37/$C$15</f>
        <v>1.6281512605042012</v>
      </c>
      <c r="D38" s="14">
        <f t="shared" ref="D38:E38" si="2">D37/$C$15</f>
        <v>2.3634453781512597</v>
      </c>
      <c r="E38" s="14">
        <f t="shared" si="2"/>
        <v>2.6785714285714275</v>
      </c>
    </row>
    <row r="39" spans="2:5" ht="16.95" customHeight="1" thickTop="1" x14ac:dyDescent="0.25">
      <c r="B39" s="124" t="s">
        <v>17</v>
      </c>
      <c r="C39" s="121" t="s">
        <v>58</v>
      </c>
      <c r="D39" s="122"/>
      <c r="E39" s="123"/>
    </row>
    <row r="40" spans="2:5" ht="16.95" customHeight="1" thickBot="1" x14ac:dyDescent="0.3">
      <c r="B40" s="125"/>
      <c r="C40" s="116" t="s">
        <v>18</v>
      </c>
      <c r="D40" s="116" t="s">
        <v>19</v>
      </c>
      <c r="E40" s="116" t="s">
        <v>20</v>
      </c>
    </row>
    <row r="41" spans="2:5" ht="16.95" customHeight="1" thickTop="1" x14ac:dyDescent="0.25">
      <c r="B41" s="40" t="s">
        <v>97</v>
      </c>
      <c r="C41" s="14">
        <f>+'Longitudinal Profile'!T8</f>
        <v>27.2</v>
      </c>
      <c r="D41" s="14">
        <f>+'Longitudinal Profile'!U8</f>
        <v>31.1</v>
      </c>
      <c r="E41" s="14">
        <f>+'Longitudinal Profile'!V8</f>
        <v>37.5</v>
      </c>
    </row>
    <row r="42" spans="2:5" ht="16.95" customHeight="1" x14ac:dyDescent="0.25">
      <c r="B42" s="40" t="s">
        <v>98</v>
      </c>
      <c r="C42" s="14">
        <f>C41/$C$15</f>
        <v>1.4285714285714282</v>
      </c>
      <c r="D42" s="14">
        <f t="shared" ref="D42:E42" si="3">D41/$C$15</f>
        <v>1.6334033613445373</v>
      </c>
      <c r="E42" s="14">
        <f t="shared" si="3"/>
        <v>1.9695378151260499</v>
      </c>
    </row>
    <row r="43" spans="2:5" ht="16.95" customHeight="1" x14ac:dyDescent="0.25">
      <c r="B43" s="40" t="s">
        <v>22</v>
      </c>
      <c r="C43" s="16">
        <f>+'Longitudinal Profile'!T9</f>
        <v>56.7</v>
      </c>
      <c r="D43" s="16">
        <f>+'Longitudinal Profile'!U9</f>
        <v>87.2</v>
      </c>
      <c r="E43" s="16">
        <f>+'Longitudinal Profile'!V9</f>
        <v>113.4</v>
      </c>
    </row>
    <row r="44" spans="2:5" ht="16.95" customHeight="1" x14ac:dyDescent="0.25">
      <c r="B44" s="40" t="s">
        <v>99</v>
      </c>
      <c r="C44" s="14">
        <f>C43/$C$15</f>
        <v>2.9779411764705874</v>
      </c>
      <c r="D44" s="14">
        <f t="shared" ref="D44:E44" si="4">D43/$C$15</f>
        <v>4.5798319327731081</v>
      </c>
      <c r="E44" s="14">
        <f t="shared" si="4"/>
        <v>5.9558823529411749</v>
      </c>
    </row>
    <row r="45" spans="2:5" ht="16.95" customHeight="1" x14ac:dyDescent="0.25">
      <c r="B45" s="40" t="s">
        <v>100</v>
      </c>
      <c r="C45" s="14">
        <f>+'Longitudinal Profile'!T7</f>
        <v>20.2</v>
      </c>
      <c r="D45" s="14">
        <f>+'Longitudinal Profile'!U7</f>
        <v>47.3</v>
      </c>
      <c r="E45" s="14">
        <f>+'Longitudinal Profile'!V7</f>
        <v>82.9</v>
      </c>
    </row>
    <row r="46" spans="2:5" ht="16.95" customHeight="1" x14ac:dyDescent="0.25">
      <c r="B46" s="40" t="s">
        <v>101</v>
      </c>
      <c r="C46" s="14">
        <f>C45/$C$15</f>
        <v>1.0609243697478987</v>
      </c>
      <c r="D46" s="14">
        <f t="shared" ref="D46:E46" si="5">D45/$C$15</f>
        <v>2.4842436974789908</v>
      </c>
      <c r="E46" s="14">
        <f t="shared" si="5"/>
        <v>4.3539915966386546</v>
      </c>
    </row>
    <row r="47" spans="2:5" ht="16.95" customHeight="1" x14ac:dyDescent="0.25">
      <c r="B47" s="40" t="s">
        <v>102</v>
      </c>
      <c r="C47" s="62">
        <f>+'Longitudinal Profile'!T10</f>
        <v>2.8999999999999998E-3</v>
      </c>
      <c r="D47" s="62">
        <f>+'Longitudinal Profile'!U10</f>
        <v>4.9999999999999992E-3</v>
      </c>
      <c r="E47" s="62">
        <f>+'Longitudinal Profile'!V10</f>
        <v>5.4999999999999997E-3</v>
      </c>
    </row>
    <row r="48" spans="2:5" ht="16.95" customHeight="1" x14ac:dyDescent="0.25">
      <c r="B48" s="40" t="s">
        <v>103</v>
      </c>
      <c r="C48" s="14">
        <f>C47/$C$10</f>
        <v>1.0459333333333267</v>
      </c>
      <c r="D48" s="14">
        <f t="shared" ref="D48:E48" si="6">D47/$C$10</f>
        <v>1.8033333333333219</v>
      </c>
      <c r="E48" s="14">
        <f t="shared" si="6"/>
        <v>1.9836666666666543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C3" sqref="C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5" t="s">
        <v>14</v>
      </c>
      <c r="C3" s="117"/>
      <c r="D3" s="117"/>
      <c r="E3" s="117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0" t="s">
        <v>17</v>
      </c>
      <c r="C5" s="161"/>
      <c r="D5" s="161"/>
      <c r="E5" s="161"/>
      <c r="F5" s="162"/>
      <c r="G5" s="160" t="s">
        <v>64</v>
      </c>
      <c r="H5" s="161"/>
      <c r="I5" s="162"/>
      <c r="K5" s="5"/>
      <c r="L5" s="5"/>
    </row>
    <row r="6" spans="2:12" ht="16.5" customHeight="1" x14ac:dyDescent="0.25">
      <c r="B6" s="157" t="s">
        <v>71</v>
      </c>
      <c r="C6" s="158"/>
      <c r="D6" s="158"/>
      <c r="E6" s="158"/>
      <c r="F6" s="159"/>
      <c r="G6" s="163">
        <f>K30</f>
        <v>30.63695000000007</v>
      </c>
      <c r="H6" s="164"/>
      <c r="I6" s="165"/>
      <c r="K6" s="5"/>
      <c r="L6" s="5"/>
    </row>
    <row r="7" spans="2:12" ht="16.5" customHeight="1" x14ac:dyDescent="0.25">
      <c r="B7" s="157" t="s">
        <v>72</v>
      </c>
      <c r="C7" s="158"/>
      <c r="D7" s="158"/>
      <c r="E7" s="158"/>
      <c r="F7" s="159"/>
      <c r="G7" s="163">
        <f t="shared" ref="G7:G15" si="0">K31</f>
        <v>19.040000000000006</v>
      </c>
      <c r="H7" s="164"/>
      <c r="I7" s="165"/>
      <c r="J7" s="12"/>
      <c r="K7" s="5"/>
      <c r="L7" s="5"/>
    </row>
    <row r="8" spans="2:12" ht="16.5" customHeight="1" x14ac:dyDescent="0.25">
      <c r="B8" s="157" t="s">
        <v>73</v>
      </c>
      <c r="C8" s="158"/>
      <c r="D8" s="158"/>
      <c r="E8" s="158"/>
      <c r="F8" s="159"/>
      <c r="G8" s="163">
        <f t="shared" si="0"/>
        <v>1.6090835084033646</v>
      </c>
      <c r="H8" s="164"/>
      <c r="I8" s="165"/>
      <c r="J8" s="12"/>
      <c r="K8" s="5"/>
      <c r="L8" s="5"/>
    </row>
    <row r="9" spans="2:12" ht="16.5" customHeight="1" x14ac:dyDescent="0.25">
      <c r="B9" s="157" t="s">
        <v>74</v>
      </c>
      <c r="C9" s="158"/>
      <c r="D9" s="158"/>
      <c r="E9" s="158"/>
      <c r="F9" s="159"/>
      <c r="G9" s="163">
        <f t="shared" si="0"/>
        <v>11.832822784252329</v>
      </c>
      <c r="H9" s="164"/>
      <c r="I9" s="165"/>
      <c r="J9" s="12"/>
      <c r="K9" s="5"/>
      <c r="L9" s="5"/>
    </row>
    <row r="10" spans="2:12" ht="16.5" customHeight="1" x14ac:dyDescent="0.25">
      <c r="B10" s="157" t="s">
        <v>75</v>
      </c>
      <c r="C10" s="158"/>
      <c r="D10" s="158"/>
      <c r="E10" s="158"/>
      <c r="F10" s="159"/>
      <c r="G10" s="163">
        <f t="shared" si="0"/>
        <v>2.5799999999999983</v>
      </c>
      <c r="H10" s="164"/>
      <c r="I10" s="165"/>
      <c r="J10" s="12"/>
      <c r="K10" s="5"/>
      <c r="L10" s="5"/>
    </row>
    <row r="11" spans="2:12" ht="16.5" customHeight="1" x14ac:dyDescent="0.25">
      <c r="B11" s="157" t="s">
        <v>76</v>
      </c>
      <c r="C11" s="158"/>
      <c r="D11" s="158"/>
      <c r="E11" s="158"/>
      <c r="F11" s="159"/>
      <c r="G11" s="163">
        <f t="shared" si="0"/>
        <v>1.60339720500898</v>
      </c>
      <c r="H11" s="164"/>
      <c r="I11" s="165"/>
      <c r="J11" s="12"/>
      <c r="K11" s="5"/>
      <c r="L11" s="5"/>
    </row>
    <row r="12" spans="2:12" ht="16.5" customHeight="1" x14ac:dyDescent="0.25">
      <c r="B12" s="169" t="s">
        <v>25</v>
      </c>
      <c r="C12" s="170"/>
      <c r="D12" s="170"/>
      <c r="E12" s="170"/>
      <c r="F12" s="171"/>
      <c r="G12" s="163">
        <f t="shared" si="0"/>
        <v>2.58</v>
      </c>
      <c r="H12" s="164"/>
      <c r="I12" s="165"/>
      <c r="J12" s="12"/>
      <c r="K12" s="5"/>
      <c r="L12" s="5"/>
    </row>
    <row r="13" spans="2:12" ht="16.5" customHeight="1" x14ac:dyDescent="0.25">
      <c r="B13" s="169" t="s">
        <v>77</v>
      </c>
      <c r="C13" s="170"/>
      <c r="D13" s="170"/>
      <c r="E13" s="170"/>
      <c r="F13" s="171"/>
      <c r="G13" s="163">
        <f t="shared" si="0"/>
        <v>1.0000000000000007</v>
      </c>
      <c r="H13" s="164"/>
      <c r="I13" s="165"/>
      <c r="J13" s="12"/>
      <c r="K13" s="5"/>
      <c r="L13" s="5"/>
    </row>
    <row r="14" spans="2:12" ht="16.5" customHeight="1" x14ac:dyDescent="0.25">
      <c r="B14" s="166" t="s">
        <v>78</v>
      </c>
      <c r="C14" s="167"/>
      <c r="D14" s="167"/>
      <c r="E14" s="167"/>
      <c r="F14" s="168"/>
      <c r="G14" s="163" t="str">
        <f t="shared" si="0"/>
        <v>&gt;190</v>
      </c>
      <c r="H14" s="164"/>
      <c r="I14" s="165"/>
      <c r="J14" s="12"/>
      <c r="K14" s="5"/>
      <c r="L14" s="5"/>
    </row>
    <row r="15" spans="2:12" ht="16.5" customHeight="1" x14ac:dyDescent="0.25">
      <c r="B15" s="157" t="s">
        <v>79</v>
      </c>
      <c r="C15" s="158"/>
      <c r="D15" s="158"/>
      <c r="E15" s="158"/>
      <c r="F15" s="159"/>
      <c r="G15" s="163" t="str">
        <f t="shared" si="0"/>
        <v>&gt;10</v>
      </c>
      <c r="H15" s="164"/>
      <c r="I15" s="165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0" t="s">
        <v>17</v>
      </c>
      <c r="C17" s="161"/>
      <c r="D17" s="161"/>
      <c r="E17" s="161"/>
      <c r="F17" s="162"/>
      <c r="G17" s="160" t="s">
        <v>54</v>
      </c>
      <c r="H17" s="161"/>
      <c r="I17" s="162"/>
      <c r="K17" s="5"/>
      <c r="L17" s="5"/>
    </row>
    <row r="18" spans="2:12" ht="16.5" customHeight="1" x14ac:dyDescent="0.25">
      <c r="B18" s="157" t="s">
        <v>80</v>
      </c>
      <c r="C18" s="158"/>
      <c r="D18" s="158"/>
      <c r="E18" s="158"/>
      <c r="F18" s="159"/>
      <c r="G18" s="172">
        <f>K44</f>
        <v>57.203919771826904</v>
      </c>
      <c r="H18" s="173"/>
      <c r="I18" s="174"/>
      <c r="K18" s="5"/>
      <c r="L18" s="5"/>
    </row>
    <row r="19" spans="2:12" ht="16.5" customHeight="1" x14ac:dyDescent="0.25">
      <c r="B19" s="157" t="s">
        <v>81</v>
      </c>
      <c r="C19" s="158"/>
      <c r="D19" s="158"/>
      <c r="E19" s="158"/>
      <c r="F19" s="159"/>
      <c r="G19" s="129">
        <f t="shared" ref="G19:G23" si="1">K45</f>
        <v>1.8671545232742415</v>
      </c>
      <c r="H19" s="130"/>
      <c r="I19" s="131"/>
      <c r="K19" s="5"/>
      <c r="L19" s="5"/>
    </row>
    <row r="20" spans="2:12" ht="16.5" customHeight="1" x14ac:dyDescent="0.25">
      <c r="B20" s="157" t="s">
        <v>82</v>
      </c>
      <c r="C20" s="158"/>
      <c r="D20" s="158"/>
      <c r="E20" s="158"/>
      <c r="F20" s="159"/>
      <c r="G20" s="129">
        <f t="shared" si="1"/>
        <v>0.23814129696979755</v>
      </c>
      <c r="H20" s="130"/>
      <c r="I20" s="131"/>
      <c r="J20" s="2"/>
      <c r="K20" s="5"/>
      <c r="L20" s="5"/>
    </row>
    <row r="21" spans="2:12" ht="16.5" customHeight="1" x14ac:dyDescent="0.25">
      <c r="B21" s="157" t="s">
        <v>49</v>
      </c>
      <c r="C21" s="158"/>
      <c r="D21" s="158"/>
      <c r="E21" s="158"/>
      <c r="F21" s="159"/>
      <c r="G21" s="129">
        <f t="shared" si="1"/>
        <v>0.44464659981555194</v>
      </c>
      <c r="H21" s="130"/>
      <c r="I21" s="131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2">
        <f t="shared" si="1"/>
        <v>19.346735182648221</v>
      </c>
      <c r="H22" s="173"/>
      <c r="I22" s="174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2">
        <f t="shared" si="1"/>
        <v>58.434787578285032</v>
      </c>
      <c r="H23" s="173"/>
      <c r="I23" s="174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6">
        <v>234</v>
      </c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2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8"/>
      <c r="C29" s="119">
        <v>0</v>
      </c>
      <c r="D29" s="120"/>
      <c r="E29" s="30">
        <v>99.17</v>
      </c>
      <c r="F29" s="31"/>
      <c r="G29" s="32"/>
      <c r="H29" s="31"/>
      <c r="J29" s="33" t="s">
        <v>15</v>
      </c>
      <c r="K29" s="34">
        <f>LOOKUP("LBKF",B29:E50)</f>
        <v>99.62</v>
      </c>
      <c r="L29" s="35"/>
    </row>
    <row r="30" spans="2:12" ht="16.5" customHeight="1" x14ac:dyDescent="0.25">
      <c r="B30" s="118"/>
      <c r="C30" s="119">
        <v>21.419999999999998</v>
      </c>
      <c r="D30" s="120"/>
      <c r="E30" s="30">
        <v>99.68</v>
      </c>
      <c r="F30" s="31"/>
      <c r="G30" s="32"/>
      <c r="H30" s="31"/>
      <c r="J30" s="37" t="s">
        <v>71</v>
      </c>
      <c r="K30" s="11">
        <f>SUM(H29:H50)</f>
        <v>30.63695000000007</v>
      </c>
      <c r="L30" s="35"/>
    </row>
    <row r="31" spans="2:12" ht="16.5" customHeight="1" x14ac:dyDescent="0.25">
      <c r="B31" s="118" t="s">
        <v>2</v>
      </c>
      <c r="C31" s="119">
        <v>21.5</v>
      </c>
      <c r="D31" s="120"/>
      <c r="E31" s="30">
        <v>99.62</v>
      </c>
      <c r="F31" s="31">
        <f t="shared" ref="F31:F42" si="2">IF(E31&gt;0,IF(E31&lt;K$29,K$29-E31,0),0)</f>
        <v>0</v>
      </c>
      <c r="G31" s="32">
        <f t="shared" ref="G31:G42" si="3">IF(E31&gt;0,IF(E31&lt;=K$29,C31-C30,0),0)</f>
        <v>8.0000000000001847E-2</v>
      </c>
      <c r="H31" s="31">
        <f t="shared" ref="H31:H42" si="4">IF(E31&lt;=K$29,G31*(F30+F31)/2,0)</f>
        <v>0</v>
      </c>
      <c r="J31" s="37" t="s">
        <v>72</v>
      </c>
      <c r="K31" s="11">
        <f>LOOKUP("RBKF",B29:C50)-LOOKUP("LBKF",B29:C50)</f>
        <v>19.040000000000006</v>
      </c>
      <c r="L31" s="35"/>
    </row>
    <row r="32" spans="2:12" ht="16.5" customHeight="1" x14ac:dyDescent="0.25">
      <c r="B32" s="118"/>
      <c r="C32" s="119">
        <v>22.939999999999998</v>
      </c>
      <c r="D32" s="120"/>
      <c r="E32" s="30">
        <v>99.24</v>
      </c>
      <c r="F32" s="31">
        <f t="shared" si="2"/>
        <v>0.38000000000000966</v>
      </c>
      <c r="G32" s="32">
        <f t="shared" si="3"/>
        <v>1.4399999999999977</v>
      </c>
      <c r="H32" s="31">
        <f t="shared" si="4"/>
        <v>0.2736000000000065</v>
      </c>
      <c r="J32" s="37" t="s">
        <v>73</v>
      </c>
      <c r="K32" s="11">
        <f>K30/K31</f>
        <v>1.6090835084033646</v>
      </c>
      <c r="L32" s="35"/>
    </row>
    <row r="33" spans="2:13" ht="16.5" customHeight="1" x14ac:dyDescent="0.25">
      <c r="B33" s="118"/>
      <c r="C33" s="119">
        <v>23.88</v>
      </c>
      <c r="D33" s="120"/>
      <c r="E33" s="30">
        <v>98.69</v>
      </c>
      <c r="F33" s="31">
        <f t="shared" si="2"/>
        <v>0.93000000000000682</v>
      </c>
      <c r="G33" s="32">
        <f t="shared" si="3"/>
        <v>0.94000000000000128</v>
      </c>
      <c r="H33" s="31">
        <f t="shared" si="4"/>
        <v>0.61570000000000857</v>
      </c>
      <c r="J33" s="37" t="s">
        <v>74</v>
      </c>
      <c r="K33" s="38">
        <f>K31/K32</f>
        <v>11.832822784252329</v>
      </c>
      <c r="L33" s="35"/>
    </row>
    <row r="34" spans="2:13" ht="16.5" customHeight="1" x14ac:dyDescent="0.25">
      <c r="B34" s="118"/>
      <c r="C34" s="119">
        <v>25.05</v>
      </c>
      <c r="D34" s="120"/>
      <c r="E34" s="30">
        <v>97.29</v>
      </c>
      <c r="F34" s="31">
        <f t="shared" si="2"/>
        <v>2.3299999999999983</v>
      </c>
      <c r="G34" s="32">
        <f t="shared" si="3"/>
        <v>1.1700000000000017</v>
      </c>
      <c r="H34" s="31">
        <f t="shared" si="4"/>
        <v>1.9071000000000058</v>
      </c>
      <c r="J34" s="37" t="s">
        <v>75</v>
      </c>
      <c r="K34" s="11">
        <f>MAX(F29:F50)</f>
        <v>2.5799999999999983</v>
      </c>
      <c r="L34" s="35"/>
    </row>
    <row r="35" spans="2:13" ht="16.5" customHeight="1" x14ac:dyDescent="0.25">
      <c r="B35" s="118"/>
      <c r="C35" s="119">
        <v>26.7</v>
      </c>
      <c r="D35" s="120"/>
      <c r="E35" s="30">
        <v>97.04</v>
      </c>
      <c r="F35" s="31">
        <f t="shared" si="2"/>
        <v>2.5799999999999983</v>
      </c>
      <c r="G35" s="32">
        <f t="shared" si="3"/>
        <v>1.6499999999999986</v>
      </c>
      <c r="H35" s="31">
        <f t="shared" si="4"/>
        <v>4.0507499999999936</v>
      </c>
      <c r="J35" s="37" t="s">
        <v>76</v>
      </c>
      <c r="K35" s="39">
        <f>K34/K32</f>
        <v>1.60339720500898</v>
      </c>
      <c r="L35" s="35"/>
    </row>
    <row r="36" spans="2:13" ht="16.5" customHeight="1" x14ac:dyDescent="0.25">
      <c r="B36" s="118"/>
      <c r="C36" s="119">
        <v>29.55</v>
      </c>
      <c r="D36" s="120"/>
      <c r="E36" s="30">
        <v>97.24</v>
      </c>
      <c r="F36" s="31">
        <f t="shared" si="2"/>
        <v>2.3800000000000097</v>
      </c>
      <c r="G36" s="32">
        <f t="shared" si="3"/>
        <v>2.8500000000000014</v>
      </c>
      <c r="H36" s="31">
        <f t="shared" si="4"/>
        <v>7.0680000000000147</v>
      </c>
      <c r="J36" s="40" t="s">
        <v>25</v>
      </c>
      <c r="K36" s="41">
        <v>2.58</v>
      </c>
      <c r="L36" s="35"/>
    </row>
    <row r="37" spans="2:13" ht="16.5" customHeight="1" x14ac:dyDescent="0.25">
      <c r="B37" s="118"/>
      <c r="C37" s="119">
        <v>32.130000000000003</v>
      </c>
      <c r="D37" s="120"/>
      <c r="E37" s="30">
        <v>97.1</v>
      </c>
      <c r="F37" s="31">
        <f t="shared" si="2"/>
        <v>2.5200000000000102</v>
      </c>
      <c r="G37" s="32">
        <f t="shared" si="3"/>
        <v>2.5800000000000018</v>
      </c>
      <c r="H37" s="31">
        <f t="shared" si="4"/>
        <v>6.3210000000000299</v>
      </c>
      <c r="J37" s="40" t="s">
        <v>77</v>
      </c>
      <c r="K37" s="42">
        <f>+K36/K34</f>
        <v>1.0000000000000007</v>
      </c>
      <c r="L37" s="35"/>
    </row>
    <row r="38" spans="2:13" ht="16.5" customHeight="1" x14ac:dyDescent="0.25">
      <c r="B38" s="118"/>
      <c r="C38" s="119">
        <v>33.03</v>
      </c>
      <c r="D38" s="120"/>
      <c r="E38" s="30">
        <v>97.4</v>
      </c>
      <c r="F38" s="31">
        <f t="shared" si="2"/>
        <v>2.2199999999999989</v>
      </c>
      <c r="G38" s="32">
        <f t="shared" si="3"/>
        <v>0.89999999999999858</v>
      </c>
      <c r="H38" s="31">
        <f t="shared" si="4"/>
        <v>2.1330000000000009</v>
      </c>
      <c r="J38" s="43" t="s">
        <v>78</v>
      </c>
      <c r="K38" s="44" t="s">
        <v>109</v>
      </c>
      <c r="L38" s="35"/>
    </row>
    <row r="39" spans="2:13" ht="16.5" customHeight="1" x14ac:dyDescent="0.25">
      <c r="B39" s="118"/>
      <c r="C39" s="119">
        <v>35.25</v>
      </c>
      <c r="D39" s="120"/>
      <c r="E39" s="30">
        <v>97.56</v>
      </c>
      <c r="F39" s="31">
        <f t="shared" si="2"/>
        <v>2.0600000000000023</v>
      </c>
      <c r="G39" s="32">
        <f t="shared" si="3"/>
        <v>2.2199999999999989</v>
      </c>
      <c r="H39" s="31">
        <f t="shared" si="4"/>
        <v>4.750799999999999</v>
      </c>
      <c r="J39" s="37" t="s">
        <v>79</v>
      </c>
      <c r="K39" s="11" t="s">
        <v>110</v>
      </c>
      <c r="L39" s="35"/>
    </row>
    <row r="40" spans="2:13" ht="16.5" customHeight="1" x14ac:dyDescent="0.25">
      <c r="B40" s="118"/>
      <c r="C40" s="119">
        <v>36.82</v>
      </c>
      <c r="D40" s="120"/>
      <c r="E40" s="30">
        <v>98.84</v>
      </c>
      <c r="F40" s="31">
        <f t="shared" si="2"/>
        <v>0.78000000000000114</v>
      </c>
      <c r="G40" s="32">
        <f t="shared" si="3"/>
        <v>1.5700000000000003</v>
      </c>
      <c r="H40" s="31">
        <f t="shared" si="4"/>
        <v>2.2294000000000032</v>
      </c>
      <c r="J40" s="37" t="s">
        <v>8</v>
      </c>
      <c r="K40" s="107">
        <f>+'Longitudinal Profile'!$H$9</f>
        <v>2.7726432532347678E-3</v>
      </c>
      <c r="L40" s="45"/>
    </row>
    <row r="41" spans="2:13" ht="16.5" customHeight="1" x14ac:dyDescent="0.25">
      <c r="B41" s="118"/>
      <c r="C41" s="119">
        <v>38.5</v>
      </c>
      <c r="D41" s="120"/>
      <c r="E41" s="30">
        <v>99.28</v>
      </c>
      <c r="F41" s="31">
        <f t="shared" si="2"/>
        <v>0.34000000000000341</v>
      </c>
      <c r="G41" s="32">
        <f t="shared" si="3"/>
        <v>1.6799999999999997</v>
      </c>
      <c r="H41" s="31">
        <f t="shared" si="4"/>
        <v>0.94080000000000363</v>
      </c>
      <c r="J41" s="37" t="s">
        <v>10</v>
      </c>
      <c r="K41" s="46">
        <v>5.1999999999999998E-2</v>
      </c>
      <c r="L41" s="45"/>
    </row>
    <row r="42" spans="2:13" ht="16.5" customHeight="1" x14ac:dyDescent="0.25">
      <c r="B42" s="118" t="s">
        <v>3</v>
      </c>
      <c r="C42" s="119">
        <v>40.540000000000006</v>
      </c>
      <c r="D42" s="120"/>
      <c r="E42" s="30">
        <v>99.62</v>
      </c>
      <c r="F42" s="31">
        <f t="shared" si="2"/>
        <v>0</v>
      </c>
      <c r="G42" s="32">
        <f t="shared" si="3"/>
        <v>2.0400000000000063</v>
      </c>
      <c r="H42" s="31">
        <f t="shared" si="4"/>
        <v>0.34680000000000455</v>
      </c>
      <c r="J42" s="37" t="s">
        <v>27</v>
      </c>
      <c r="K42" s="14">
        <f>K31+2*K32</f>
        <v>22.258167016806734</v>
      </c>
      <c r="L42" s="47"/>
      <c r="M42" s="47"/>
    </row>
    <row r="43" spans="2:13" ht="16.5" customHeight="1" x14ac:dyDescent="0.25">
      <c r="B43" s="118"/>
      <c r="C43" s="119">
        <v>45.18</v>
      </c>
      <c r="D43" s="120"/>
      <c r="E43" s="30">
        <v>99.48</v>
      </c>
      <c r="F43" s="31"/>
      <c r="G43" s="32"/>
      <c r="H43" s="31"/>
      <c r="J43" s="37" t="s">
        <v>9</v>
      </c>
      <c r="K43" s="14">
        <f>K30/K42</f>
        <v>1.3764363425284154</v>
      </c>
      <c r="L43" s="47"/>
      <c r="M43" s="47"/>
    </row>
    <row r="44" spans="2:13" ht="16.5" customHeight="1" x14ac:dyDescent="0.25">
      <c r="B44" s="118"/>
      <c r="C44" s="119"/>
      <c r="D44" s="120"/>
      <c r="E44" s="30"/>
      <c r="F44" s="31"/>
      <c r="G44" s="32"/>
      <c r="H44" s="31"/>
      <c r="J44" s="37" t="s">
        <v>80</v>
      </c>
      <c r="K44" s="14">
        <f>K30*1.49*(K43^0.667)*(K40^0.5)/K41</f>
        <v>57.203919771826904</v>
      </c>
    </row>
    <row r="45" spans="2:13" ht="16.5" customHeight="1" x14ac:dyDescent="0.25">
      <c r="B45" s="118"/>
      <c r="C45" s="119"/>
      <c r="D45" s="120"/>
      <c r="E45" s="30"/>
      <c r="F45" s="31"/>
      <c r="G45" s="32"/>
      <c r="H45" s="31"/>
      <c r="J45" s="37" t="s">
        <v>81</v>
      </c>
      <c r="K45" s="14">
        <f>K44/K30</f>
        <v>1.8671545232742415</v>
      </c>
    </row>
    <row r="46" spans="2:13" ht="16.5" customHeight="1" x14ac:dyDescent="0.25">
      <c r="B46" s="118"/>
      <c r="C46" s="119"/>
      <c r="D46" s="120"/>
      <c r="E46" s="30"/>
      <c r="F46" s="31"/>
      <c r="G46" s="32"/>
      <c r="H46" s="31"/>
      <c r="J46" s="37" t="s">
        <v>82</v>
      </c>
      <c r="K46" s="42">
        <f>62.4*K43*K40</f>
        <v>0.23814129696979755</v>
      </c>
    </row>
    <row r="47" spans="2:13" ht="16.5" customHeight="1" x14ac:dyDescent="0.25">
      <c r="B47" s="118"/>
      <c r="C47" s="119"/>
      <c r="D47" s="120"/>
      <c r="E47" s="30"/>
      <c r="F47" s="31"/>
      <c r="G47" s="32"/>
      <c r="H47" s="31"/>
      <c r="J47" s="37" t="s">
        <v>49</v>
      </c>
      <c r="K47" s="42">
        <f>K46*K45</f>
        <v>0.44464659981555194</v>
      </c>
    </row>
    <row r="48" spans="2:13" ht="16.5" customHeight="1" x14ac:dyDescent="0.25">
      <c r="B48" s="118"/>
      <c r="C48" s="119"/>
      <c r="D48" s="120"/>
      <c r="E48" s="30"/>
      <c r="F48" s="31"/>
      <c r="G48" s="32"/>
      <c r="H48" s="31"/>
      <c r="J48" s="15" t="s">
        <v>55</v>
      </c>
      <c r="K48" s="48">
        <f>77.966*(K46*1.042)</f>
        <v>19.346735182648221</v>
      </c>
    </row>
    <row r="49" spans="2:11" ht="16.5" customHeight="1" x14ac:dyDescent="0.25">
      <c r="B49" s="118"/>
      <c r="C49" s="119"/>
      <c r="D49" s="120"/>
      <c r="E49" s="30"/>
      <c r="F49" s="31"/>
      <c r="G49" s="32"/>
      <c r="H49" s="31"/>
      <c r="J49" s="15" t="s">
        <v>56</v>
      </c>
      <c r="K49" s="48">
        <f>253.7*(K46*0.9672)</f>
        <v>58.434787578285032</v>
      </c>
    </row>
    <row r="50" spans="2:11" ht="16.5" customHeight="1" x14ac:dyDescent="0.25">
      <c r="B50" s="118"/>
      <c r="C50" s="119"/>
      <c r="D50" s="120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V9" sqref="V9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8" t="s">
        <v>17</v>
      </c>
      <c r="K5" s="179"/>
      <c r="L5" s="182" t="s">
        <v>47</v>
      </c>
      <c r="M5" s="183"/>
      <c r="N5" s="183"/>
      <c r="O5" s="183"/>
      <c r="P5" s="183"/>
      <c r="Q5" s="183"/>
      <c r="R5" s="183"/>
      <c r="S5" s="184"/>
      <c r="T5" s="177" t="s">
        <v>34</v>
      </c>
      <c r="U5" s="177"/>
      <c r="V5" s="177"/>
    </row>
    <row r="6" spans="2:22" ht="16.5" customHeight="1" thickTop="1" thickBot="1" x14ac:dyDescent="0.35">
      <c r="B6" s="71" t="s">
        <v>12</v>
      </c>
      <c r="C6" s="72">
        <v>0</v>
      </c>
      <c r="D6" s="73">
        <v>97.92</v>
      </c>
      <c r="F6" s="180" t="s">
        <v>28</v>
      </c>
      <c r="G6" s="181"/>
      <c r="H6" s="74">
        <v>252</v>
      </c>
      <c r="I6" s="70"/>
      <c r="J6" s="179"/>
      <c r="K6" s="179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v>324.60000000000002</v>
      </c>
      <c r="D7" s="73">
        <v>97.02</v>
      </c>
      <c r="F7" s="76" t="s">
        <v>29</v>
      </c>
      <c r="G7" s="77"/>
      <c r="H7" s="39">
        <f>C7-C6</f>
        <v>324.60000000000002</v>
      </c>
      <c r="I7" s="67"/>
      <c r="J7" s="178" t="s">
        <v>84</v>
      </c>
      <c r="K7" s="178"/>
      <c r="L7" s="41">
        <v>42</v>
      </c>
      <c r="M7" s="41">
        <v>20.2</v>
      </c>
      <c r="N7" s="41">
        <v>82.9</v>
      </c>
      <c r="O7" s="41">
        <v>52.6</v>
      </c>
      <c r="P7" s="41"/>
      <c r="Q7" s="41"/>
      <c r="R7" s="41"/>
      <c r="S7" s="41"/>
      <c r="T7" s="14">
        <f>MIN(L7:P7)</f>
        <v>20.2</v>
      </c>
      <c r="U7" s="14">
        <f>MEDIAN(L7:P7)</f>
        <v>47.3</v>
      </c>
      <c r="V7" s="14">
        <f>MAX(L7:P7)</f>
        <v>82.9</v>
      </c>
    </row>
    <row r="8" spans="2:22" ht="16.5" customHeight="1" x14ac:dyDescent="0.3">
      <c r="B8" s="78"/>
      <c r="C8" s="79" t="s">
        <v>89</v>
      </c>
      <c r="D8" s="102"/>
      <c r="F8" s="76" t="s">
        <v>30</v>
      </c>
      <c r="G8" s="77"/>
      <c r="H8" s="31">
        <f>D6-D7</f>
        <v>0.90000000000000568</v>
      </c>
      <c r="I8" s="53"/>
      <c r="J8" s="60" t="s">
        <v>83</v>
      </c>
      <c r="K8" s="60"/>
      <c r="L8" s="41">
        <v>30.2</v>
      </c>
      <c r="M8" s="41">
        <v>37.5</v>
      </c>
      <c r="N8" s="41">
        <v>27.2</v>
      </c>
      <c r="O8" s="41">
        <v>32</v>
      </c>
      <c r="P8" s="41"/>
      <c r="Q8" s="41"/>
      <c r="R8" s="41"/>
      <c r="S8" s="41"/>
      <c r="T8" s="14">
        <f>MIN(L8:P8)</f>
        <v>27.2</v>
      </c>
      <c r="U8" s="14">
        <f>MEDIAN(L8:P8)</f>
        <v>31.1</v>
      </c>
      <c r="V8" s="14">
        <f>MAX(L8:P8)</f>
        <v>37.5</v>
      </c>
    </row>
    <row r="9" spans="2:22" ht="16.5" customHeight="1" x14ac:dyDescent="0.3">
      <c r="B9" s="78"/>
      <c r="C9" s="79" t="s">
        <v>90</v>
      </c>
      <c r="D9" s="22"/>
      <c r="F9" s="76" t="s">
        <v>31</v>
      </c>
      <c r="G9" s="77"/>
      <c r="H9" s="80">
        <f>H8/H7</f>
        <v>2.7726432532347678E-3</v>
      </c>
      <c r="I9" s="54"/>
      <c r="J9" s="60" t="s">
        <v>22</v>
      </c>
      <c r="K9" s="60"/>
      <c r="L9" s="41">
        <v>56.7</v>
      </c>
      <c r="M9" s="41">
        <v>113.4</v>
      </c>
      <c r="N9" s="41">
        <v>87.2</v>
      </c>
      <c r="O9" s="41"/>
      <c r="P9" s="41"/>
      <c r="Q9" s="41"/>
      <c r="R9" s="41"/>
      <c r="S9" s="41"/>
      <c r="T9" s="14">
        <f>MIN(L9:P9)</f>
        <v>56.7</v>
      </c>
      <c r="U9" s="14">
        <f>MEDIAN(L9:P9)</f>
        <v>87.2</v>
      </c>
      <c r="V9" s="14">
        <f>MAX(L9:P9)</f>
        <v>113.4</v>
      </c>
    </row>
    <row r="10" spans="2:22" ht="16.5" customHeight="1" x14ac:dyDescent="0.3">
      <c r="B10" s="78"/>
      <c r="C10" s="21" t="s">
        <v>91</v>
      </c>
      <c r="D10" s="22"/>
      <c r="F10" s="76" t="s">
        <v>32</v>
      </c>
      <c r="G10" s="77"/>
      <c r="H10" s="80">
        <f>H8/H6</f>
        <v>3.5714285714285939E-3</v>
      </c>
      <c r="I10" s="81"/>
      <c r="J10" s="60" t="s">
        <v>85</v>
      </c>
      <c r="K10" s="82"/>
      <c r="L10" s="83">
        <v>5.4999999999999997E-3</v>
      </c>
      <c r="M10" s="83">
        <v>4.4999999999999997E-3</v>
      </c>
      <c r="N10" s="83">
        <v>2.8999999999999998E-3</v>
      </c>
      <c r="O10" s="83">
        <v>5.4999999999999997E-3</v>
      </c>
      <c r="P10" s="83"/>
      <c r="Q10" s="83"/>
      <c r="R10" s="83"/>
      <c r="S10" s="83"/>
      <c r="T10" s="62">
        <f>MIN(L10:P10)</f>
        <v>2.8999999999999998E-3</v>
      </c>
      <c r="U10" s="62">
        <f>MEDIAN(L10:P10)</f>
        <v>4.9999999999999992E-3</v>
      </c>
      <c r="V10" s="62">
        <f>MAX(L10:P10)</f>
        <v>5.4999999999999997E-3</v>
      </c>
    </row>
    <row r="11" spans="2:22" ht="16.5" customHeight="1" x14ac:dyDescent="0.3">
      <c r="B11" s="2"/>
      <c r="C11" s="50"/>
      <c r="D11" s="50"/>
      <c r="F11" s="175" t="s">
        <v>33</v>
      </c>
      <c r="G11" s="176"/>
      <c r="H11" s="31">
        <f>H7/H6</f>
        <v>1.2880952380952382</v>
      </c>
      <c r="I11" s="81"/>
    </row>
    <row r="12" spans="2:22" ht="16.5" customHeight="1" x14ac:dyDescent="0.3">
      <c r="B12" s="2"/>
      <c r="C12" s="50"/>
      <c r="D12" s="50"/>
      <c r="I12" s="81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1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 t="s">
        <v>92</v>
      </c>
      <c r="C15" s="29">
        <v>0</v>
      </c>
      <c r="D15" s="36"/>
      <c r="E15" s="30">
        <v>97.67</v>
      </c>
      <c r="F15" s="36"/>
      <c r="G15" s="30">
        <v>97.92</v>
      </c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>
        <v>13.68</v>
      </c>
      <c r="D16" s="36"/>
      <c r="E16" s="30">
        <v>97.6</v>
      </c>
      <c r="F16" s="36"/>
      <c r="G16" s="30">
        <v>97.82</v>
      </c>
      <c r="H16" s="36"/>
      <c r="I16" s="30"/>
      <c r="J16" s="36"/>
      <c r="K16" s="30"/>
      <c r="L16" s="11">
        <f t="shared" ref="L16:L29" si="0">C16-C15</f>
        <v>13.68</v>
      </c>
      <c r="M16" s="30">
        <f t="shared" ref="M16:M29" si="1">-(G16-G15)</f>
        <v>0.10000000000000853</v>
      </c>
      <c r="N16" s="87">
        <f>M16/L16</f>
        <v>7.3099415204684595E-3</v>
      </c>
      <c r="O16" s="88"/>
      <c r="P16" s="88"/>
    </row>
    <row r="17" spans="2:16" ht="16.5" customHeight="1" x14ac:dyDescent="0.3">
      <c r="B17" s="56" t="s">
        <v>93</v>
      </c>
      <c r="C17" s="29">
        <v>41.97</v>
      </c>
      <c r="D17" s="36"/>
      <c r="E17" s="30">
        <v>97.6</v>
      </c>
      <c r="F17" s="36"/>
      <c r="G17" s="30">
        <v>97.69</v>
      </c>
      <c r="H17" s="36"/>
      <c r="I17" s="30"/>
      <c r="J17" s="36"/>
      <c r="K17" s="30"/>
      <c r="L17" s="11">
        <f t="shared" si="0"/>
        <v>28.29</v>
      </c>
      <c r="M17" s="30">
        <f t="shared" si="1"/>
        <v>0.12999999999999545</v>
      </c>
      <c r="N17" s="87">
        <f t="shared" ref="N17:N27" si="2">M17/L17</f>
        <v>4.5952633439376262E-3</v>
      </c>
      <c r="O17" s="88"/>
      <c r="P17" s="88"/>
    </row>
    <row r="18" spans="2:16" ht="16.5" customHeight="1" x14ac:dyDescent="0.3">
      <c r="B18" s="56"/>
      <c r="C18" s="29">
        <v>51.93</v>
      </c>
      <c r="D18" s="36"/>
      <c r="E18" s="30">
        <v>96.58</v>
      </c>
      <c r="F18" s="36"/>
      <c r="G18" s="30"/>
      <c r="H18" s="36"/>
      <c r="I18" s="30"/>
      <c r="J18" s="36"/>
      <c r="K18" s="30"/>
      <c r="L18" s="11">
        <f t="shared" si="0"/>
        <v>9.9600000000000009</v>
      </c>
      <c r="M18" s="30">
        <f t="shared" si="1"/>
        <v>97.69</v>
      </c>
      <c r="N18" s="87">
        <f t="shared" si="2"/>
        <v>9.8082329317269057</v>
      </c>
      <c r="O18" s="88"/>
      <c r="P18" s="88"/>
    </row>
    <row r="19" spans="2:16" ht="16.5" customHeight="1" x14ac:dyDescent="0.3">
      <c r="B19" s="56"/>
      <c r="C19" s="29">
        <v>58.25</v>
      </c>
      <c r="D19" s="36"/>
      <c r="E19" s="30">
        <v>96</v>
      </c>
      <c r="F19" s="36"/>
      <c r="G19" s="30">
        <v>97.71</v>
      </c>
      <c r="H19" s="36"/>
      <c r="I19" s="30"/>
      <c r="J19" s="36"/>
      <c r="K19" s="30"/>
      <c r="L19" s="11">
        <f t="shared" si="0"/>
        <v>6.32</v>
      </c>
      <c r="M19" s="30">
        <f t="shared" si="1"/>
        <v>-97.71</v>
      </c>
      <c r="N19" s="87">
        <f t="shared" si="2"/>
        <v>-15.460443037974683</v>
      </c>
      <c r="O19" s="88"/>
      <c r="P19" s="88"/>
    </row>
    <row r="20" spans="2:16" ht="16.5" customHeight="1" x14ac:dyDescent="0.3">
      <c r="B20" s="56" t="s">
        <v>92</v>
      </c>
      <c r="C20" s="29">
        <v>72.16</v>
      </c>
      <c r="D20" s="36"/>
      <c r="E20" s="30">
        <v>97.54</v>
      </c>
      <c r="F20" s="36"/>
      <c r="G20" s="30">
        <v>97.71</v>
      </c>
      <c r="H20" s="36"/>
      <c r="I20" s="30"/>
      <c r="J20" s="36"/>
      <c r="K20" s="30"/>
      <c r="L20" s="11">
        <f t="shared" si="0"/>
        <v>13.909999999999997</v>
      </c>
      <c r="M20" s="30">
        <f t="shared" si="1"/>
        <v>0</v>
      </c>
      <c r="N20" s="87">
        <f t="shared" si="2"/>
        <v>0</v>
      </c>
      <c r="O20" s="88"/>
      <c r="P20" s="88"/>
    </row>
    <row r="21" spans="2:16" ht="16.5" customHeight="1" x14ac:dyDescent="0.3">
      <c r="B21" s="56" t="s">
        <v>93</v>
      </c>
      <c r="C21" s="29">
        <v>92.36</v>
      </c>
      <c r="D21" s="36"/>
      <c r="E21" s="30">
        <v>97.53</v>
      </c>
      <c r="F21" s="36"/>
      <c r="G21" s="30">
        <v>97.62</v>
      </c>
      <c r="H21" s="36"/>
      <c r="I21" s="30"/>
      <c r="J21" s="36"/>
      <c r="K21" s="30"/>
      <c r="L21" s="11">
        <f t="shared" si="0"/>
        <v>20.200000000000003</v>
      </c>
      <c r="M21" s="30">
        <f t="shared" si="1"/>
        <v>8.99999999999892E-2</v>
      </c>
      <c r="N21" s="87">
        <f t="shared" si="2"/>
        <v>4.4554455445539199E-3</v>
      </c>
      <c r="O21" s="88"/>
      <c r="P21" s="88"/>
    </row>
    <row r="22" spans="2:16" ht="16.5" customHeight="1" x14ac:dyDescent="0.3">
      <c r="B22" s="56"/>
      <c r="C22" s="29">
        <v>93.85</v>
      </c>
      <c r="D22" s="36"/>
      <c r="E22" s="30">
        <v>97.16</v>
      </c>
      <c r="F22" s="36"/>
      <c r="G22" s="30"/>
      <c r="H22" s="36"/>
      <c r="I22" s="30"/>
      <c r="J22" s="36"/>
      <c r="K22" s="30"/>
      <c r="L22" s="11">
        <f t="shared" si="0"/>
        <v>1.4899999999999949</v>
      </c>
      <c r="M22" s="30">
        <f t="shared" si="1"/>
        <v>97.62</v>
      </c>
      <c r="N22" s="87">
        <f t="shared" si="2"/>
        <v>65.51677852349016</v>
      </c>
      <c r="O22" s="88"/>
      <c r="P22" s="88"/>
    </row>
    <row r="23" spans="2:16" ht="16.5" customHeight="1" x14ac:dyDescent="0.3">
      <c r="B23" s="56"/>
      <c r="C23" s="29">
        <v>99.81</v>
      </c>
      <c r="D23" s="36"/>
      <c r="E23" s="30">
        <v>96.89</v>
      </c>
      <c r="F23" s="36"/>
      <c r="G23" s="30"/>
      <c r="H23" s="36"/>
      <c r="I23" s="30"/>
      <c r="J23" s="36"/>
      <c r="K23" s="30"/>
      <c r="L23" s="11">
        <f>C23-C22</f>
        <v>5.960000000000008</v>
      </c>
      <c r="M23" s="30">
        <f t="shared" si="1"/>
        <v>0</v>
      </c>
      <c r="N23" s="87">
        <f t="shared" si="2"/>
        <v>0</v>
      </c>
      <c r="O23" s="88"/>
      <c r="P23" s="88"/>
    </row>
    <row r="24" spans="2:16" ht="16.5" customHeight="1" x14ac:dyDescent="0.3">
      <c r="B24" s="56"/>
      <c r="C24" s="29">
        <v>105.99</v>
      </c>
      <c r="D24" s="36"/>
      <c r="E24" s="30">
        <v>97.29</v>
      </c>
      <c r="F24" s="36"/>
      <c r="G24" s="30"/>
      <c r="H24" s="36"/>
      <c r="I24" s="30"/>
      <c r="J24" s="36"/>
      <c r="K24" s="30"/>
      <c r="L24" s="11">
        <f t="shared" si="0"/>
        <v>6.1799999999999926</v>
      </c>
      <c r="M24" s="30">
        <f t="shared" si="1"/>
        <v>0</v>
      </c>
      <c r="N24" s="87">
        <f t="shared" si="2"/>
        <v>0</v>
      </c>
      <c r="O24" s="88"/>
      <c r="P24" s="88"/>
    </row>
    <row r="25" spans="2:16" ht="16.5" customHeight="1" x14ac:dyDescent="0.3">
      <c r="B25" s="56"/>
      <c r="C25" s="29">
        <v>115</v>
      </c>
      <c r="D25" s="36"/>
      <c r="E25" s="30">
        <v>96.68</v>
      </c>
      <c r="F25" s="36"/>
      <c r="G25" s="30">
        <v>97.63</v>
      </c>
      <c r="H25" s="36"/>
      <c r="I25" s="30"/>
      <c r="J25" s="36"/>
      <c r="K25" s="30"/>
      <c r="L25" s="11">
        <f t="shared" si="0"/>
        <v>9.0100000000000051</v>
      </c>
      <c r="M25" s="30">
        <f t="shared" si="1"/>
        <v>-97.63</v>
      </c>
      <c r="N25" s="87">
        <f t="shared" si="2"/>
        <v>-10.835738068812423</v>
      </c>
      <c r="O25" s="88"/>
      <c r="P25" s="88"/>
    </row>
    <row r="26" spans="2:16" ht="16.5" customHeight="1" x14ac:dyDescent="0.3">
      <c r="B26" s="56"/>
      <c r="C26" s="29">
        <v>122.2</v>
      </c>
      <c r="D26" s="36"/>
      <c r="E26" s="30">
        <v>97.27</v>
      </c>
      <c r="F26" s="36"/>
      <c r="G26" s="30"/>
      <c r="H26" s="36"/>
      <c r="I26" s="30"/>
      <c r="J26" s="36"/>
      <c r="K26" s="30"/>
      <c r="L26" s="11">
        <f t="shared" si="0"/>
        <v>7.2000000000000028</v>
      </c>
      <c r="M26" s="30">
        <f t="shared" si="1"/>
        <v>97.63</v>
      </c>
      <c r="N26" s="87">
        <f t="shared" si="2"/>
        <v>13.559722222222216</v>
      </c>
      <c r="O26" s="88"/>
      <c r="P26" s="88"/>
    </row>
    <row r="27" spans="2:16" ht="16.5" customHeight="1" x14ac:dyDescent="0.3">
      <c r="B27" s="56" t="s">
        <v>92</v>
      </c>
      <c r="C27" s="29">
        <v>129.93</v>
      </c>
      <c r="D27" s="36"/>
      <c r="E27" s="30">
        <v>97.21</v>
      </c>
      <c r="F27" s="36"/>
      <c r="G27" s="30">
        <v>97.63</v>
      </c>
      <c r="H27" s="36"/>
      <c r="I27" s="30"/>
      <c r="J27" s="36"/>
      <c r="K27" s="30"/>
      <c r="L27" s="11">
        <f t="shared" si="0"/>
        <v>7.730000000000004</v>
      </c>
      <c r="M27" s="30">
        <f t="shared" si="1"/>
        <v>-97.63</v>
      </c>
      <c r="N27" s="87">
        <f t="shared" si="2"/>
        <v>-12.630012936610601</v>
      </c>
      <c r="O27" s="88"/>
      <c r="P27" s="88"/>
    </row>
    <row r="28" spans="2:16" ht="16.5" customHeight="1" x14ac:dyDescent="0.3">
      <c r="B28" s="56"/>
      <c r="C28" s="29">
        <v>137.53</v>
      </c>
      <c r="D28" s="36"/>
      <c r="E28" s="30">
        <v>97.42</v>
      </c>
      <c r="F28" s="36"/>
      <c r="G28" s="30"/>
      <c r="H28" s="36"/>
      <c r="I28" s="30"/>
      <c r="J28" s="36"/>
      <c r="K28" s="30"/>
      <c r="L28" s="11">
        <f t="shared" si="0"/>
        <v>7.5999999999999943</v>
      </c>
      <c r="M28" s="30">
        <f t="shared" si="1"/>
        <v>97.63</v>
      </c>
      <c r="N28" s="87">
        <f t="shared" ref="N28:N29" si="3">M28/L28</f>
        <v>12.846052631578956</v>
      </c>
      <c r="O28" s="88"/>
      <c r="P28" s="88"/>
    </row>
    <row r="29" spans="2:16" ht="16.5" customHeight="1" x14ac:dyDescent="0.3">
      <c r="B29" s="56"/>
      <c r="C29" s="29">
        <v>147.1</v>
      </c>
      <c r="D29" s="36"/>
      <c r="E29" s="30">
        <v>97.39</v>
      </c>
      <c r="F29" s="36"/>
      <c r="G29" s="30">
        <v>97.59</v>
      </c>
      <c r="H29" s="36"/>
      <c r="I29" s="30"/>
      <c r="J29" s="36"/>
      <c r="K29" s="30"/>
      <c r="L29" s="11">
        <f t="shared" si="0"/>
        <v>9.5699999999999932</v>
      </c>
      <c r="M29" s="30">
        <f t="shared" si="1"/>
        <v>-97.59</v>
      </c>
      <c r="N29" s="87">
        <f t="shared" si="3"/>
        <v>-10.197492163009413</v>
      </c>
      <c r="O29" s="88"/>
      <c r="P29" s="88"/>
    </row>
    <row r="30" spans="2:16" ht="16.5" customHeight="1" x14ac:dyDescent="0.3">
      <c r="B30" s="56"/>
      <c r="C30" s="29">
        <v>170.44</v>
      </c>
      <c r="D30" s="36"/>
      <c r="E30" s="30">
        <v>97.2</v>
      </c>
      <c r="F30" s="36"/>
      <c r="G30" s="30">
        <v>97.5</v>
      </c>
      <c r="H30" s="36"/>
      <c r="I30" s="30"/>
      <c r="J30" s="36"/>
      <c r="K30" s="30"/>
      <c r="L30" s="11">
        <f t="shared" ref="L30" si="4">C30-C29</f>
        <v>23.340000000000003</v>
      </c>
      <c r="M30" s="30">
        <f t="shared" ref="M30" si="5">-(G30-G29)</f>
        <v>9.0000000000003411E-2</v>
      </c>
      <c r="N30" s="87">
        <f t="shared" ref="N30" si="6">M30/L30</f>
        <v>3.8560411311055441E-3</v>
      </c>
      <c r="O30" s="88"/>
      <c r="P30" s="88"/>
    </row>
    <row r="31" spans="2:16" ht="16.5" customHeight="1" x14ac:dyDescent="0.3">
      <c r="B31" s="56"/>
      <c r="C31" s="29">
        <v>189.25</v>
      </c>
      <c r="D31" s="36"/>
      <c r="E31" s="30">
        <v>97.21</v>
      </c>
      <c r="F31" s="36"/>
      <c r="G31" s="30">
        <v>97.49</v>
      </c>
      <c r="H31" s="36"/>
      <c r="I31" s="30"/>
      <c r="J31" s="36"/>
      <c r="K31" s="30"/>
      <c r="L31" s="11">
        <f t="shared" ref="L31:L43" si="7">C31-C30</f>
        <v>18.810000000000002</v>
      </c>
      <c r="M31" s="30">
        <f t="shared" ref="M31:M43" si="8">-(G31-G30)</f>
        <v>1.0000000000005116E-2</v>
      </c>
      <c r="N31" s="87">
        <f t="shared" ref="N31:N43" si="9">M31/L31</f>
        <v>5.3163211057975096E-4</v>
      </c>
      <c r="O31" s="88"/>
      <c r="P31" s="88"/>
    </row>
    <row r="32" spans="2:16" ht="16.5" customHeight="1" x14ac:dyDescent="0.3">
      <c r="B32" s="56"/>
      <c r="C32" s="29">
        <v>204.46</v>
      </c>
      <c r="D32" s="36"/>
      <c r="E32" s="30">
        <v>97.1</v>
      </c>
      <c r="F32" s="36"/>
      <c r="G32" s="30"/>
      <c r="H32" s="36"/>
      <c r="I32" s="30"/>
      <c r="J32" s="36"/>
      <c r="K32" s="30"/>
      <c r="L32" s="11">
        <f t="shared" si="7"/>
        <v>15.210000000000008</v>
      </c>
      <c r="M32" s="30">
        <f t="shared" si="8"/>
        <v>97.49</v>
      </c>
      <c r="N32" s="87">
        <f t="shared" si="9"/>
        <v>6.4095989480604825</v>
      </c>
      <c r="O32" s="88"/>
      <c r="P32" s="88"/>
    </row>
    <row r="33" spans="2:16" ht="16.5" customHeight="1" x14ac:dyDescent="0.3">
      <c r="B33" s="56" t="s">
        <v>93</v>
      </c>
      <c r="C33" s="29">
        <v>212.75</v>
      </c>
      <c r="D33" s="36"/>
      <c r="E33" s="30">
        <v>96.98</v>
      </c>
      <c r="F33" s="36"/>
      <c r="G33" s="30">
        <v>97.39</v>
      </c>
      <c r="H33" s="36"/>
      <c r="I33" s="30"/>
      <c r="J33" s="36"/>
      <c r="K33" s="30"/>
      <c r="L33" s="11">
        <f t="shared" si="7"/>
        <v>8.289999999999992</v>
      </c>
      <c r="M33" s="30">
        <f t="shared" si="8"/>
        <v>-97.39</v>
      </c>
      <c r="N33" s="87">
        <f t="shared" si="9"/>
        <v>-11.747889022919191</v>
      </c>
      <c r="O33" s="88"/>
      <c r="P33" s="88"/>
    </row>
    <row r="34" spans="2:16" ht="16.5" customHeight="1" x14ac:dyDescent="0.3">
      <c r="B34" s="56"/>
      <c r="C34" s="29">
        <v>220.05</v>
      </c>
      <c r="D34" s="36"/>
      <c r="E34" s="30">
        <v>97.04</v>
      </c>
      <c r="F34" s="36"/>
      <c r="G34" s="30"/>
      <c r="H34" s="36"/>
      <c r="I34" s="30"/>
      <c r="J34" s="36"/>
      <c r="K34" s="30"/>
      <c r="L34" s="11">
        <f t="shared" si="7"/>
        <v>7.3000000000000114</v>
      </c>
      <c r="M34" s="30">
        <f t="shared" si="8"/>
        <v>97.39</v>
      </c>
      <c r="N34" s="87">
        <f t="shared" si="9"/>
        <v>13.341095890410939</v>
      </c>
      <c r="O34" s="88"/>
      <c r="P34" s="88"/>
    </row>
    <row r="35" spans="2:16" ht="16.5" customHeight="1" x14ac:dyDescent="0.3">
      <c r="B35" s="56"/>
      <c r="C35" s="29">
        <v>228.36</v>
      </c>
      <c r="D35" s="36"/>
      <c r="E35" s="30">
        <v>96.66</v>
      </c>
      <c r="F35" s="36"/>
      <c r="G35" s="30">
        <v>97.42</v>
      </c>
      <c r="H35" s="36"/>
      <c r="I35" s="30"/>
      <c r="J35" s="36"/>
      <c r="K35" s="30"/>
      <c r="L35" s="11">
        <f t="shared" si="7"/>
        <v>8.3100000000000023</v>
      </c>
      <c r="M35" s="30">
        <f t="shared" si="8"/>
        <v>-97.42</v>
      </c>
      <c r="N35" s="87">
        <f t="shared" si="9"/>
        <v>-11.723225030084233</v>
      </c>
      <c r="O35" s="88"/>
      <c r="P35" s="88"/>
    </row>
    <row r="36" spans="2:16" ht="16.5" customHeight="1" x14ac:dyDescent="0.3">
      <c r="B36" s="56"/>
      <c r="C36" s="29">
        <v>233.4</v>
      </c>
      <c r="D36" s="36"/>
      <c r="E36" s="30">
        <v>97.07</v>
      </c>
      <c r="F36" s="36"/>
      <c r="G36" s="30">
        <v>97.41</v>
      </c>
      <c r="H36" s="36"/>
      <c r="I36" s="30"/>
      <c r="J36" s="36"/>
      <c r="K36" s="30"/>
      <c r="L36" s="11">
        <f t="shared" si="7"/>
        <v>5.039999999999992</v>
      </c>
      <c r="M36" s="30">
        <f t="shared" si="8"/>
        <v>1.0000000000005116E-2</v>
      </c>
      <c r="N36" s="87">
        <f t="shared" si="9"/>
        <v>1.9841269841280023E-3</v>
      </c>
      <c r="O36" s="88"/>
      <c r="P36" s="88"/>
    </row>
    <row r="37" spans="2:16" ht="16.5" customHeight="1" x14ac:dyDescent="0.3">
      <c r="B37" s="56" t="s">
        <v>92</v>
      </c>
      <c r="C37" s="89">
        <v>240.02</v>
      </c>
      <c r="D37" s="90"/>
      <c r="E37" s="30">
        <v>97.12</v>
      </c>
      <c r="F37" s="36"/>
      <c r="G37" s="30">
        <v>97.37</v>
      </c>
      <c r="H37" s="36"/>
      <c r="I37" s="30"/>
      <c r="J37" s="36"/>
      <c r="K37" s="30"/>
      <c r="L37" s="11">
        <f t="shared" si="7"/>
        <v>6.6200000000000045</v>
      </c>
      <c r="M37" s="30">
        <f t="shared" si="8"/>
        <v>3.9999999999992042E-2</v>
      </c>
      <c r="N37" s="87">
        <f t="shared" si="9"/>
        <v>6.0422960725063464E-3</v>
      </c>
      <c r="O37" s="88"/>
      <c r="P37" s="88"/>
    </row>
    <row r="38" spans="2:16" ht="16.5" customHeight="1" x14ac:dyDescent="0.3">
      <c r="B38" s="56"/>
      <c r="C38" s="29">
        <v>255.28</v>
      </c>
      <c r="D38" s="36"/>
      <c r="E38" s="30">
        <v>96.89</v>
      </c>
      <c r="F38" s="36"/>
      <c r="G38" s="30">
        <v>97.3</v>
      </c>
      <c r="H38" s="36"/>
      <c r="I38" s="30"/>
      <c r="J38" s="36"/>
      <c r="K38" s="30"/>
      <c r="L38" s="11">
        <f t="shared" si="7"/>
        <v>15.259999999999991</v>
      </c>
      <c r="M38" s="30">
        <f t="shared" si="8"/>
        <v>7.000000000000739E-2</v>
      </c>
      <c r="N38" s="87">
        <f t="shared" si="9"/>
        <v>4.5871559633032391E-3</v>
      </c>
      <c r="O38" s="88"/>
      <c r="P38" s="88"/>
    </row>
    <row r="39" spans="2:16" ht="16.5" customHeight="1" x14ac:dyDescent="0.3">
      <c r="B39" s="56"/>
      <c r="C39" s="29">
        <v>268.43</v>
      </c>
      <c r="D39" s="36"/>
      <c r="E39" s="30">
        <v>97.01</v>
      </c>
      <c r="F39" s="36"/>
      <c r="G39" s="30"/>
      <c r="H39" s="36"/>
      <c r="I39" s="30"/>
      <c r="J39" s="36"/>
      <c r="K39" s="30"/>
      <c r="L39" s="11">
        <f t="shared" si="7"/>
        <v>13.150000000000006</v>
      </c>
      <c r="M39" s="30">
        <f t="shared" si="8"/>
        <v>97.3</v>
      </c>
      <c r="N39" s="87">
        <f t="shared" si="9"/>
        <v>7.3992395437262326</v>
      </c>
      <c r="O39" s="88"/>
      <c r="P39" s="88"/>
    </row>
    <row r="40" spans="2:16" ht="16.5" customHeight="1" x14ac:dyDescent="0.3">
      <c r="B40" s="56" t="s">
        <v>93</v>
      </c>
      <c r="C40" s="29">
        <v>292.64</v>
      </c>
      <c r="D40" s="36"/>
      <c r="E40" s="30">
        <v>96.9</v>
      </c>
      <c r="F40" s="36"/>
      <c r="G40" s="30">
        <v>97.08</v>
      </c>
      <c r="H40" s="36"/>
      <c r="I40" s="30"/>
      <c r="J40" s="36"/>
      <c r="K40" s="30"/>
      <c r="L40" s="11">
        <f t="shared" si="7"/>
        <v>24.20999999999998</v>
      </c>
      <c r="M40" s="30">
        <f t="shared" si="8"/>
        <v>-97.08</v>
      </c>
      <c r="N40" s="87">
        <f t="shared" si="9"/>
        <v>-4.0099132589838939</v>
      </c>
      <c r="O40" s="88"/>
      <c r="P40" s="88"/>
    </row>
    <row r="41" spans="2:16" ht="16.5" customHeight="1" x14ac:dyDescent="0.3">
      <c r="B41" s="56"/>
      <c r="C41" s="29">
        <v>304.47000000000003</v>
      </c>
      <c r="D41" s="36"/>
      <c r="E41" s="30">
        <v>96.51</v>
      </c>
      <c r="F41" s="36"/>
      <c r="G41" s="30">
        <v>97.04</v>
      </c>
      <c r="H41" s="36"/>
      <c r="I41" s="30"/>
      <c r="J41" s="36"/>
      <c r="K41" s="30"/>
      <c r="L41" s="11">
        <f t="shared" si="7"/>
        <v>11.830000000000041</v>
      </c>
      <c r="M41" s="30">
        <f t="shared" si="8"/>
        <v>3.9999999999992042E-2</v>
      </c>
      <c r="N41" s="87">
        <f t="shared" si="9"/>
        <v>3.3812341504642351E-3</v>
      </c>
      <c r="O41" s="88"/>
      <c r="P41" s="88"/>
    </row>
    <row r="42" spans="2:16" ht="16.5" customHeight="1" x14ac:dyDescent="0.3">
      <c r="B42" s="91"/>
      <c r="C42" s="29">
        <v>315.56</v>
      </c>
      <c r="D42" s="36"/>
      <c r="E42" s="30">
        <v>96.45</v>
      </c>
      <c r="F42" s="36"/>
      <c r="G42" s="30"/>
      <c r="H42" s="36"/>
      <c r="I42" s="30"/>
      <c r="J42" s="36"/>
      <c r="K42" s="30"/>
      <c r="L42" s="11">
        <f t="shared" si="7"/>
        <v>11.089999999999975</v>
      </c>
      <c r="M42" s="30">
        <f t="shared" si="8"/>
        <v>97.04</v>
      </c>
      <c r="N42" s="87">
        <f t="shared" si="9"/>
        <v>8.7502254283138168</v>
      </c>
      <c r="O42" s="88"/>
      <c r="P42" s="88"/>
    </row>
    <row r="43" spans="2:16" ht="16.5" customHeight="1" x14ac:dyDescent="0.3">
      <c r="B43" s="56" t="s">
        <v>92</v>
      </c>
      <c r="C43" s="29">
        <v>324.57</v>
      </c>
      <c r="D43" s="36"/>
      <c r="E43" s="30">
        <v>96.85</v>
      </c>
      <c r="F43" s="36"/>
      <c r="G43" s="30">
        <v>97.02</v>
      </c>
      <c r="H43" s="36"/>
      <c r="I43" s="30"/>
      <c r="J43" s="36"/>
      <c r="K43" s="30"/>
      <c r="L43" s="11">
        <f t="shared" si="7"/>
        <v>9.0099999999999909</v>
      </c>
      <c r="M43" s="30">
        <f t="shared" si="8"/>
        <v>-97.02</v>
      </c>
      <c r="N43" s="87">
        <f t="shared" si="9"/>
        <v>-10.76803551609324</v>
      </c>
      <c r="O43" s="88"/>
      <c r="P43" s="88"/>
    </row>
    <row r="44" spans="2:16" ht="16.5" customHeight="1" x14ac:dyDescent="0.3">
      <c r="B44" s="91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1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2"/>
      <c r="O45" s="93"/>
      <c r="P45" s="93"/>
    </row>
    <row r="46" spans="2:16" ht="16.5" customHeight="1" x14ac:dyDescent="0.3">
      <c r="B46" s="91"/>
      <c r="C46" s="29"/>
      <c r="D46" s="36"/>
      <c r="E46" s="30"/>
      <c r="F46" s="94"/>
      <c r="G46" s="30"/>
      <c r="H46" s="94"/>
      <c r="I46" s="30"/>
      <c r="J46" s="94"/>
      <c r="K46" s="30"/>
      <c r="L46" s="95"/>
      <c r="M46" s="95"/>
      <c r="N46" s="95"/>
    </row>
    <row r="47" spans="2:16" ht="16.5" customHeight="1" x14ac:dyDescent="0.3">
      <c r="B47" s="91"/>
      <c r="C47" s="29"/>
      <c r="D47" s="36"/>
      <c r="E47" s="30"/>
      <c r="F47" s="94"/>
      <c r="G47" s="30"/>
      <c r="H47" s="94"/>
      <c r="I47" s="30"/>
      <c r="J47" s="94"/>
      <c r="K47" s="30"/>
      <c r="L47" s="95"/>
      <c r="M47" s="95"/>
      <c r="N47" s="95"/>
    </row>
    <row r="48" spans="2:16" ht="16.5" customHeight="1" x14ac:dyDescent="0.3">
      <c r="B48" s="91"/>
      <c r="C48" s="29"/>
      <c r="D48" s="36"/>
      <c r="E48" s="30"/>
      <c r="F48" s="94"/>
      <c r="G48" s="30"/>
      <c r="H48" s="94"/>
      <c r="I48" s="30"/>
      <c r="J48" s="94"/>
      <c r="K48" s="30"/>
      <c r="L48" s="95"/>
      <c r="M48" s="95"/>
      <c r="N48" s="95"/>
    </row>
    <row r="49" spans="2:14" ht="16.5" customHeight="1" x14ac:dyDescent="0.3">
      <c r="B49" s="91"/>
      <c r="C49" s="29"/>
      <c r="D49" s="36"/>
      <c r="E49" s="30"/>
      <c r="F49" s="94"/>
      <c r="G49" s="30"/>
      <c r="H49" s="94"/>
      <c r="I49" s="30"/>
      <c r="J49" s="94"/>
      <c r="K49" s="30"/>
      <c r="L49" s="95"/>
      <c r="M49" s="95"/>
      <c r="N49" s="95"/>
    </row>
    <row r="50" spans="2:14" ht="16.5" customHeight="1" x14ac:dyDescent="0.3">
      <c r="B50" s="91"/>
      <c r="C50" s="29"/>
      <c r="D50" s="36"/>
      <c r="E50" s="30"/>
      <c r="F50" s="94"/>
      <c r="G50" s="30"/>
      <c r="H50" s="94"/>
      <c r="I50" s="30"/>
      <c r="J50" s="94"/>
      <c r="K50" s="30"/>
      <c r="L50" s="95"/>
      <c r="M50" s="95"/>
      <c r="N50" s="95"/>
    </row>
    <row r="51" spans="2:14" ht="16.5" customHeight="1" x14ac:dyDescent="0.3">
      <c r="B51" s="91"/>
      <c r="C51" s="29"/>
      <c r="D51" s="36"/>
      <c r="E51" s="30"/>
      <c r="F51" s="94"/>
      <c r="G51" s="30"/>
      <c r="H51" s="94"/>
      <c r="I51" s="30"/>
      <c r="J51" s="94"/>
      <c r="K51" s="30"/>
      <c r="L51" s="95"/>
      <c r="M51" s="95"/>
      <c r="N51" s="95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J7" sqref="J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104</v>
      </c>
      <c r="C2" s="2"/>
      <c r="D2" s="52"/>
    </row>
    <row r="3" spans="2:10" ht="16.5" customHeight="1" x14ac:dyDescent="0.25">
      <c r="B3" s="96" t="s">
        <v>14</v>
      </c>
      <c r="C3" s="97"/>
      <c r="D3" s="98"/>
    </row>
    <row r="4" spans="2:10" ht="16.5" customHeight="1" x14ac:dyDescent="0.25">
      <c r="B4" s="9"/>
      <c r="C4" s="99"/>
      <c r="D4" s="100"/>
      <c r="E4" s="59"/>
      <c r="F4" s="59"/>
      <c r="G4" s="59"/>
    </row>
    <row r="5" spans="2:10" ht="16.5" customHeight="1" x14ac:dyDescent="0.25">
      <c r="B5" s="178" t="s">
        <v>17</v>
      </c>
      <c r="C5" s="182" t="s">
        <v>35</v>
      </c>
      <c r="D5" s="183"/>
      <c r="E5" s="183"/>
      <c r="F5" s="183"/>
      <c r="G5" s="183"/>
      <c r="H5" s="177" t="s">
        <v>34</v>
      </c>
      <c r="I5" s="177"/>
      <c r="J5" s="177"/>
    </row>
    <row r="6" spans="2:10" ht="16.5" customHeight="1" thickBot="1" x14ac:dyDescent="0.3">
      <c r="B6" s="185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86</v>
      </c>
      <c r="C7" s="101">
        <v>110</v>
      </c>
      <c r="D7" s="101">
        <v>108</v>
      </c>
      <c r="E7" s="101">
        <v>123</v>
      </c>
      <c r="F7" s="101"/>
      <c r="G7" s="101"/>
      <c r="H7" s="13">
        <f>MIN(C7:G7)</f>
        <v>108</v>
      </c>
      <c r="I7" s="13">
        <f>MEDIAN(C7:G7)</f>
        <v>110</v>
      </c>
      <c r="J7" s="13">
        <f>MAX(C7:G7)</f>
        <v>123</v>
      </c>
    </row>
    <row r="8" spans="2:10" ht="16.5" customHeight="1" x14ac:dyDescent="0.25">
      <c r="B8" s="40" t="s">
        <v>26</v>
      </c>
      <c r="C8" s="101">
        <v>23</v>
      </c>
      <c r="D8" s="101">
        <v>51</v>
      </c>
      <c r="E8" s="101">
        <v>40</v>
      </c>
      <c r="F8" s="101">
        <v>51</v>
      </c>
      <c r="G8" s="101"/>
      <c r="H8" s="13">
        <f>MIN(C8:G8)</f>
        <v>23</v>
      </c>
      <c r="I8" s="13">
        <f>MEDIAN(C8:G8)</f>
        <v>45.5</v>
      </c>
      <c r="J8" s="13">
        <f>MAX(C8:G8)</f>
        <v>51</v>
      </c>
    </row>
    <row r="9" spans="2:10" ht="16.5" customHeight="1" x14ac:dyDescent="0.25">
      <c r="B9" s="40" t="s">
        <v>87</v>
      </c>
      <c r="C9" s="101">
        <v>51</v>
      </c>
      <c r="D9" s="101">
        <v>31</v>
      </c>
      <c r="E9" s="101">
        <v>45</v>
      </c>
      <c r="F9" s="101"/>
      <c r="G9" s="101"/>
      <c r="H9" s="13">
        <f>MIN(C9:G9)</f>
        <v>31</v>
      </c>
      <c r="I9" s="13">
        <f>MEDIAN(C9:G9)</f>
        <v>45</v>
      </c>
      <c r="J9" s="13">
        <f>MAX(C9:G9)</f>
        <v>51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2020-04-13T17:10:38Z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