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F34" i="81" l="1"/>
  <c r="G34" i="81"/>
  <c r="H34" i="81" s="1"/>
  <c r="F35" i="81"/>
  <c r="G35" i="81"/>
  <c r="H35" i="81" s="1"/>
  <c r="F36" i="81"/>
  <c r="G36" i="81"/>
  <c r="H36" i="81"/>
  <c r="F37" i="81"/>
  <c r="H37" i="81" s="1"/>
  <c r="G37" i="81"/>
  <c r="F38" i="81"/>
  <c r="G38" i="81"/>
  <c r="H38" i="81" s="1"/>
  <c r="F39" i="81"/>
  <c r="G39" i="81"/>
  <c r="H39" i="81" s="1"/>
  <c r="F40" i="81"/>
  <c r="G40" i="81"/>
  <c r="H40" i="81"/>
  <c r="F41" i="81"/>
  <c r="H41" i="81" s="1"/>
  <c r="G41" i="81"/>
  <c r="F42" i="81"/>
  <c r="G42" i="81"/>
  <c r="H42" i="81" s="1"/>
  <c r="F43" i="81"/>
  <c r="G43" i="81"/>
  <c r="H43" i="81" s="1"/>
  <c r="F44" i="81"/>
  <c r="G44" i="81"/>
  <c r="H44" i="81"/>
  <c r="F45" i="81"/>
  <c r="G45" i="81"/>
  <c r="H45" i="81"/>
  <c r="F46" i="81"/>
  <c r="G46" i="81"/>
  <c r="H46" i="81"/>
  <c r="F47" i="81"/>
  <c r="G47" i="81"/>
  <c r="H47" i="81"/>
  <c r="F48" i="81"/>
  <c r="G48" i="81"/>
  <c r="H48" i="81"/>
  <c r="F49" i="81"/>
  <c r="G49" i="81"/>
  <c r="H49" i="81"/>
  <c r="F50" i="81"/>
  <c r="G50" i="81"/>
  <c r="H50" i="81"/>
  <c r="F29" i="81"/>
  <c r="G29" i="81"/>
  <c r="H29" i="81"/>
  <c r="F30" i="81"/>
  <c r="G30" i="81"/>
  <c r="H30" i="81"/>
  <c r="F31" i="81"/>
  <c r="G31" i="81"/>
  <c r="H31" i="81"/>
  <c r="F32" i="81"/>
  <c r="G32" i="81"/>
  <c r="H32" i="81" s="1"/>
  <c r="G12" i="81" l="1"/>
  <c r="G14" i="81"/>
  <c r="L30" i="70" l="1"/>
  <c r="L23" i="70" l="1"/>
  <c r="C6" i="70"/>
  <c r="H7" i="70" s="1"/>
  <c r="M30" i="70"/>
  <c r="N30" i="70" s="1"/>
  <c r="K31" i="81" l="1"/>
  <c r="G7" i="81" s="1"/>
  <c r="U8" i="70" l="1"/>
  <c r="D41" i="73" s="1"/>
  <c r="C20" i="73" l="1"/>
  <c r="D20" i="73"/>
  <c r="E20" i="73"/>
  <c r="C22" i="73"/>
  <c r="D22" i="73"/>
  <c r="E22" i="73"/>
  <c r="H8" i="70" l="1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 s="1"/>
  <c r="U7" i="70"/>
  <c r="D45" i="73" s="1"/>
  <c r="V7" i="70"/>
  <c r="E45" i="73" s="1"/>
  <c r="T8" i="70"/>
  <c r="C41" i="73" s="1"/>
  <c r="V8" i="70"/>
  <c r="E41" i="73" s="1"/>
  <c r="K29" i="81"/>
  <c r="V11" i="70"/>
  <c r="U11" i="70"/>
  <c r="T11" i="70"/>
  <c r="V10" i="70"/>
  <c r="E47" i="73" s="1"/>
  <c r="U10" i="70"/>
  <c r="D47" i="73" s="1"/>
  <c r="T10" i="70"/>
  <c r="C47" i="73" s="1"/>
  <c r="V9" i="70"/>
  <c r="E43" i="73" s="1"/>
  <c r="U9" i="70"/>
  <c r="D43" i="73" s="1"/>
  <c r="T9" i="70"/>
  <c r="C43" i="73" s="1"/>
  <c r="I9" i="84"/>
  <c r="D37" i="73" s="1"/>
  <c r="H9" i="84"/>
  <c r="C37" i="73" s="1"/>
  <c r="J9" i="84"/>
  <c r="E37" i="73" s="1"/>
  <c r="J8" i="84"/>
  <c r="E35" i="73" s="1"/>
  <c r="I8" i="84"/>
  <c r="D35" i="73" s="1"/>
  <c r="H8" i="84"/>
  <c r="C35" i="73" s="1"/>
  <c r="J7" i="84"/>
  <c r="E33" i="73" s="1"/>
  <c r="I7" i="84"/>
  <c r="D33" i="73" s="1"/>
  <c r="H7" i="84"/>
  <c r="C33" i="73" s="1"/>
  <c r="F33" i="81" l="1"/>
  <c r="G33" i="81"/>
  <c r="H33" i="81" s="1"/>
  <c r="H9" i="70"/>
  <c r="H10" i="70" s="1"/>
  <c r="E15" i="73"/>
  <c r="C15" i="73"/>
  <c r="C11" i="73"/>
  <c r="C12" i="73"/>
  <c r="M23" i="70"/>
  <c r="N23" i="70" s="1"/>
  <c r="N29" i="70"/>
  <c r="M20" i="70"/>
  <c r="N20" i="70" s="1"/>
  <c r="N28" i="70"/>
  <c r="N25" i="70"/>
  <c r="M19" i="70"/>
  <c r="N19" i="70" s="1"/>
  <c r="N26" i="70"/>
  <c r="N27" i="70"/>
  <c r="N24" i="70"/>
  <c r="M22" i="70"/>
  <c r="N22" i="70" s="1"/>
  <c r="M21" i="70"/>
  <c r="N21" i="70" s="1"/>
  <c r="M17" i="70"/>
  <c r="N17" i="70" s="1"/>
  <c r="M18" i="70"/>
  <c r="N18" i="70" s="1"/>
  <c r="M16" i="70"/>
  <c r="N16" i="70" s="1"/>
  <c r="K39" i="81"/>
  <c r="G15" i="81" s="1"/>
  <c r="K40" i="81" l="1"/>
  <c r="C10" i="73"/>
  <c r="D15" i="73"/>
  <c r="C36" i="73" s="1"/>
  <c r="C23" i="73"/>
  <c r="D23" i="73"/>
  <c r="E23" i="73"/>
  <c r="K34" i="81"/>
  <c r="G10" i="81" s="1"/>
  <c r="D34" i="73" l="1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K37" i="81"/>
  <c r="G13" i="81" s="1"/>
  <c r="D48" i="73"/>
  <c r="E48" i="73"/>
  <c r="C48" i="73"/>
  <c r="K30" i="81"/>
  <c r="G6" i="81" s="1"/>
  <c r="D21" i="73" l="1"/>
  <c r="E21" i="73"/>
  <c r="C21" i="73"/>
  <c r="C14" i="73"/>
  <c r="K32" i="81"/>
  <c r="K33" i="81" l="1"/>
  <c r="G9" i="81" s="1"/>
  <c r="C17" i="73" s="1"/>
  <c r="G8" i="81"/>
  <c r="C16" i="73" s="1"/>
  <c r="K35" i="81"/>
  <c r="G11" i="81" s="1"/>
  <c r="K42" i="81"/>
  <c r="K43" i="81" s="1"/>
  <c r="E16" i="73"/>
  <c r="D17" i="73"/>
  <c r="E17" i="73"/>
  <c r="E19" i="73" l="1"/>
  <c r="K44" i="81"/>
  <c r="K46" i="81"/>
  <c r="D19" i="73"/>
  <c r="C19" i="73"/>
  <c r="D16" i="73"/>
  <c r="K45" i="81" l="1"/>
  <c r="G19" i="81" s="1"/>
  <c r="C26" i="73" s="1"/>
  <c r="G18" i="81"/>
  <c r="C25" i="73" s="1"/>
  <c r="K48" i="81"/>
  <c r="G22" i="81" s="1"/>
  <c r="C29" i="73" s="1"/>
  <c r="G20" i="81"/>
  <c r="C27" i="73" s="1"/>
  <c r="K49" i="81"/>
  <c r="E27" i="73"/>
  <c r="D27" i="73"/>
  <c r="E25" i="73"/>
  <c r="D25" i="73"/>
  <c r="E26" i="73"/>
  <c r="D26" i="73"/>
  <c r="D29" i="73"/>
  <c r="E29" i="73"/>
  <c r="K47" i="81" l="1"/>
  <c r="G21" i="81" s="1"/>
  <c r="C28" i="73" s="1"/>
  <c r="G23" i="81"/>
  <c r="C30" i="73" s="1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<sst xmlns="http://schemas.openxmlformats.org/spreadsheetml/2006/main" count="170" uniqueCount="109">
  <si>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</si>
  <si>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</si>
  <si>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</si>
  <si>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</si>
  <si>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</si>
  <si>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</si>
  <si>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</si>
  <si>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</si>
  <si>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</si>
  <si>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</si>
  <si>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</si>
  <si>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</si>
  <si>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</si>
  <si>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</si>
  <si>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</si>
  <si>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</si>
  <si>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</si>
  <si>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</si>
  <si>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</si>
  <si>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</si>
  <si>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</si>
  <si>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</si>
  <si>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</si>
  <si>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</si>
  <si>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</si>
  <si>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</si>
  <si>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</si>
  <si>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</si>
  <si>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</si>
  <si>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</si>
  <si>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</si>
  <si>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</si>
  <si>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</si>
  <si>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</si>
  <si>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</si>
  <si>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</si>
  <si>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</si>
  <si>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</si>
  <si>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</si>
  <si>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</si>
  <si>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</si>
  <si>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</si>
  <si>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</si>
  <si>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</si>
  <si>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</si>
  <si>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</si>
  <si>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</si>
  <si>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</si>
  <si>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</si>
  <si>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</si>
  <si>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</si>
  <si>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</si>
  <si>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</si>
  <si>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</si>
  <si>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</si>
  <si>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</si>
  <si>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</si>
  <si>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</si>
  <si>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</si>
  <si>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</si>
  <si>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</si>
  <si>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</si>
  <si>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</si>
  <si>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</si>
  <si>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</si>
  <si>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</si>
  <si>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</si>
  <si>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</si>
  <si>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</si>
  <si>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</si>
  <si>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</si>
  <si>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</si>
  <si>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</si>
  <si>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</si>
  <si>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</si>
  <si>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</si>
  <si>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</si>
  <si>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</si>
  <si>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</si>
  <si>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</si>
  <si>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</si>
  <si>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</si>
  <si>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</si>
  <si>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</si>
  <si>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</si>
  <si>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</si>
  <si>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</si>
  <si>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</si>
  <si>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</si>
  <si>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</si>
  <si>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</si>
  <si>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</si>
  <si>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</si>
  <si>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</si>
  <si>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</si>
  <si>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</si>
  <si>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</si>
  <si>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</si>
  <si>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</si>
  <si>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</si>
  <si>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</si>
  <si>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</si>
  <si>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</si>
  <si>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</si>
  <si>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Big Dutchman Creek, USGS Gage</t>
  </si>
  <si>
    <t>34.986998, -81.007374</t>
  </si>
  <si>
    <t>Big Dutchman Creek</t>
  </si>
  <si>
    <t>B5c</t>
  </si>
  <si>
    <t>sand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</si>
</sst>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  <numFmt numFmtId="168" formatCode="0.0000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3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8" fontId="6" fillId="0" borderId="2" xfId="0" applyNumberFormat="1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'Cross-section'!$C$29:$C$52</c:f>
              <c:numCache>
                <c:formatCode>0.0</c:formatCode>
                <c:ptCount val="24"/>
                <c:pt idx="0">
                  <c:v>8.23</c:v>
                </c:pt>
                <c:pt idx="1">
                  <c:v>14.74</c:v>
                </c:pt>
                <c:pt idx="2">
                  <c:v>17.89</c:v>
                </c:pt>
                <c:pt idx="3">
                  <c:v>20.6</c:v>
                </c:pt>
                <c:pt idx="4">
                  <c:v>20.96</c:v>
                </c:pt>
                <c:pt idx="5">
                  <c:v>22.38</c:v>
                </c:pt>
                <c:pt idx="6">
                  <c:v>22.63</c:v>
                </c:pt>
                <c:pt idx="7">
                  <c:v>30.71</c:v>
                </c:pt>
                <c:pt idx="8">
                  <c:v>42.44</c:v>
                </c:pt>
                <c:pt idx="9">
                  <c:v>45.4</c:v>
                </c:pt>
                <c:pt idx="10">
                  <c:v>47.15</c:v>
                </c:pt>
                <c:pt idx="11">
                  <c:v>49.75</c:v>
                </c:pt>
                <c:pt idx="12">
                  <c:v>52.39</c:v>
                </c:pt>
                <c:pt idx="13">
                  <c:v>55.98</c:v>
                </c:pt>
                <c:pt idx="14">
                  <c:v>56.32</c:v>
                </c:pt>
                <c:pt idx="15">
                  <c:v>59.23</c:v>
                </c:pt>
                <c:pt idx="16">
                  <c:v>61.62</c:v>
                </c:pt>
                <c:pt idx="17">
                  <c:v>63.05</c:v>
                </c:pt>
                <c:pt idx="18">
                  <c:v>65.53</c:v>
                </c:pt>
                <c:pt idx="19">
                  <c:v>68.150000000000006</c:v>
                </c:pt>
                <c:pt idx="20">
                  <c:v>73.930000000000007</c:v>
                </c:pt>
                <c:pt idx="21">
                  <c:v>88.06</c:v>
                </c:pt>
              </c:numCache>
            </c:numRef>
          </c:xVal>
          <c:yVal>
            <c:numRef>
              <c:f>'Cross-section'!$E$29:$E$52</c:f>
              <c:numCache>
                <c:formatCode>0.00</c:formatCode>
                <c:ptCount val="24"/>
                <c:pt idx="0">
                  <c:v>100.41</c:v>
                </c:pt>
                <c:pt idx="1">
                  <c:v>99.93</c:v>
                </c:pt>
                <c:pt idx="2">
                  <c:v>96.84</c:v>
                </c:pt>
                <c:pt idx="3">
                  <c:v>93.61</c:v>
                </c:pt>
                <c:pt idx="4">
                  <c:v>93.19</c:v>
                </c:pt>
                <c:pt idx="5">
                  <c:v>91.32</c:v>
                </c:pt>
                <c:pt idx="6">
                  <c:v>89.68</c:v>
                </c:pt>
                <c:pt idx="7">
                  <c:v>89.51</c:v>
                </c:pt>
                <c:pt idx="8">
                  <c:v>89.5</c:v>
                </c:pt>
                <c:pt idx="9">
                  <c:v>89.75</c:v>
                </c:pt>
                <c:pt idx="10">
                  <c:v>90.33</c:v>
                </c:pt>
                <c:pt idx="11">
                  <c:v>90.61</c:v>
                </c:pt>
                <c:pt idx="12">
                  <c:v>92.87</c:v>
                </c:pt>
                <c:pt idx="13">
                  <c:v>93.34</c:v>
                </c:pt>
                <c:pt idx="14">
                  <c:v>93.61</c:v>
                </c:pt>
                <c:pt idx="15">
                  <c:v>94.3</c:v>
                </c:pt>
                <c:pt idx="16">
                  <c:v>94.76</c:v>
                </c:pt>
                <c:pt idx="17">
                  <c:v>95.36</c:v>
                </c:pt>
                <c:pt idx="18">
                  <c:v>97.54</c:v>
                </c:pt>
                <c:pt idx="19">
                  <c:v>98.25</c:v>
                </c:pt>
                <c:pt idx="20">
                  <c:v>99.94</c:v>
                </c:pt>
                <c:pt idx="21">
                  <c:v>99.37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839904"/>
        <c:axId val="135838336"/>
      </c:scatterChart>
      <c:valAx>
        <c:axId val="13583990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838336"/>
        <c:crosses val="autoZero"/>
        <c:crossBetween val="midCat"/>
      </c:valAx>
      <c:valAx>
        <c:axId val="1358383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83990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839120"/>
        <c:axId val="13584029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583912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5840296"/>
        <c:crosses val="autoZero"/>
        <c:crossBetween val="midCat"/>
        <c:minorUnit val="25"/>
      </c:valAx>
      <c:valAx>
        <c:axId val="13584029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583912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43791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27" t="s">
        <v>50</v>
      </c>
      <c r="D5" s="127"/>
      <c r="E5" s="127"/>
    </row>
    <row r="6" spans="2:5" ht="16.95" customHeight="1" thickTop="1" x14ac:dyDescent="0.25">
      <c r="B6" s="15" t="s">
        <v>60</v>
      </c>
      <c r="C6" s="128" t="s">
        <v>106</v>
      </c>
      <c r="D6" s="129"/>
      <c r="E6" s="130"/>
    </row>
    <row r="7" spans="2:5" ht="16.95" customHeight="1" x14ac:dyDescent="0.25">
      <c r="B7" s="15" t="s">
        <v>59</v>
      </c>
      <c r="C7" s="131" t="s">
        <v>107</v>
      </c>
      <c r="D7" s="132"/>
      <c r="E7" s="133"/>
    </row>
    <row r="8" spans="2:5" ht="16.95" customHeight="1" x14ac:dyDescent="0.25">
      <c r="B8" s="15" t="s">
        <v>21</v>
      </c>
      <c r="C8" s="134">
        <v>16.8</v>
      </c>
      <c r="D8" s="135"/>
      <c r="E8" s="136"/>
    </row>
    <row r="9" spans="2:5" ht="16.95" customHeight="1" x14ac:dyDescent="0.25">
      <c r="B9" s="15" t="s">
        <v>89</v>
      </c>
      <c r="C9" s="134" t="s">
        <v>108</v>
      </c>
      <c r="D9" s="135"/>
      <c r="E9" s="136"/>
    </row>
    <row r="10" spans="2:5" ht="16.95" customHeight="1" x14ac:dyDescent="0.25">
      <c r="B10" s="15" t="s">
        <v>52</v>
      </c>
      <c r="C10" s="140">
        <f>'Longitudinal Profile'!H9</f>
        <v>1.5683496913892658E-3</v>
      </c>
      <c r="D10" s="141"/>
      <c r="E10" s="142"/>
    </row>
    <row r="11" spans="2:5" ht="16.95" customHeight="1" x14ac:dyDescent="0.25">
      <c r="B11" s="15" t="s">
        <v>53</v>
      </c>
      <c r="C11" s="143">
        <f>'Longitudinal Profile'!H11</f>
        <v>1.19</v>
      </c>
      <c r="D11" s="144"/>
      <c r="E11" s="145"/>
    </row>
    <row r="12" spans="2:5" ht="16.95" customHeight="1" thickBot="1" x14ac:dyDescent="0.3">
      <c r="B12" s="15" t="s">
        <v>23</v>
      </c>
      <c r="C12" s="124">
        <f>'Longitudinal Profile'!H7</f>
        <v>197.66</v>
      </c>
      <c r="D12" s="125"/>
      <c r="E12" s="126"/>
    </row>
    <row r="13" spans="2:5" ht="16.95" customHeight="1" thickTop="1" x14ac:dyDescent="0.25">
      <c r="B13" s="117" t="s">
        <v>17</v>
      </c>
      <c r="C13" s="137" t="s">
        <v>64</v>
      </c>
      <c r="D13" s="138"/>
      <c r="E13" s="139"/>
    </row>
    <row r="14" spans="2:5" ht="16.95" customHeight="1" x14ac:dyDescent="0.25">
      <c r="B14" s="115" t="s">
        <v>71</v>
      </c>
      <c r="C14" s="124">
        <f>'Cross-section'!G6</f>
        <v>116.3727999999999</v>
      </c>
      <c r="D14" s="125"/>
      <c r="E14" s="126"/>
    </row>
    <row r="15" spans="2:5" ht="16.95" customHeight="1" x14ac:dyDescent="0.25">
      <c r="B15" s="40" t="s">
        <v>72</v>
      </c>
      <c r="C15" s="124">
        <f>'Cross-section'!G7</f>
        <v>35.72</v>
      </c>
      <c r="D15" s="125">
        <f>'Cross-section'!H7</f>
        <v>0</v>
      </c>
      <c r="E15" s="126">
        <f>'Cross-section'!I7</f>
        <v>0</v>
      </c>
    </row>
    <row r="16" spans="2:5" ht="16.95" customHeight="1" x14ac:dyDescent="0.25">
      <c r="B16" s="40" t="s">
        <v>73</v>
      </c>
      <c r="C16" s="124">
        <f>'Cross-section'!G8</f>
        <v>3.257917133258676</v>
      </c>
      <c r="D16" s="125">
        <f>'Cross-section'!H8</f>
        <v>0</v>
      </c>
      <c r="E16" s="126">
        <f>'Cross-section'!I8</f>
        <v>0</v>
      </c>
    </row>
    <row r="17" spans="2:5" ht="16.95" customHeight="1" x14ac:dyDescent="0.25">
      <c r="B17" s="40" t="s">
        <v>74</v>
      </c>
      <c r="C17" s="124">
        <f>'Cross-section'!G9</f>
        <v>10.964060330249001</v>
      </c>
      <c r="D17" s="125">
        <f>'Cross-section'!H9</f>
        <v>0</v>
      </c>
      <c r="E17" s="126">
        <f>'Cross-section'!I9</f>
        <v>0</v>
      </c>
    </row>
    <row r="18" spans="2:5" ht="16.95" customHeight="1" x14ac:dyDescent="0.25">
      <c r="B18" s="40" t="s">
        <v>75</v>
      </c>
      <c r="C18" s="124">
        <f>'Cross-section'!G10</f>
        <v>4.1099999999999994</v>
      </c>
      <c r="D18" s="125">
        <f>'Cross-section'!H10</f>
        <v>0</v>
      </c>
      <c r="E18" s="126">
        <f>'Cross-section'!I10</f>
        <v>0</v>
      </c>
    </row>
    <row r="19" spans="2:5" ht="16.95" customHeight="1" x14ac:dyDescent="0.25">
      <c r="B19" s="40" t="s">
        <v>76</v>
      </c>
      <c r="C19" s="124">
        <f>'Cross-section'!G11</f>
        <v>1.2615422160504868</v>
      </c>
      <c r="D19" s="125">
        <f>'Cross-section'!H11</f>
        <v>0</v>
      </c>
      <c r="E19" s="126">
        <f>'Cross-section'!I11</f>
        <v>0</v>
      </c>
    </row>
    <row r="20" spans="2:5" ht="16.95" customHeight="1" x14ac:dyDescent="0.25">
      <c r="B20" s="40" t="s">
        <v>25</v>
      </c>
      <c r="C20" s="124">
        <f>'Cross-section'!G12</f>
        <v>4.0999999999999996</v>
      </c>
      <c r="D20" s="125">
        <f>'Cross-section'!H12</f>
        <v>0</v>
      </c>
      <c r="E20" s="126">
        <f>'Cross-section'!I12</f>
        <v>0</v>
      </c>
    </row>
    <row r="21" spans="2:5" ht="16.95" customHeight="1" x14ac:dyDescent="0.25">
      <c r="B21" s="40" t="s">
        <v>77</v>
      </c>
      <c r="C21" s="124">
        <f>'Cross-section'!G13</f>
        <v>0.9975669099756691</v>
      </c>
      <c r="D21" s="125">
        <f>'Cross-section'!H13</f>
        <v>0</v>
      </c>
      <c r="E21" s="126">
        <f>'Cross-section'!I13</f>
        <v>0</v>
      </c>
    </row>
    <row r="22" spans="2:5" ht="16.95" customHeight="1" x14ac:dyDescent="0.25">
      <c r="B22" s="40" t="s">
        <v>78</v>
      </c>
      <c r="C22" s="124">
        <f>'Cross-section'!G14</f>
        <v>51</v>
      </c>
      <c r="D22" s="125">
        <f>'Cross-section'!H14</f>
        <v>0</v>
      </c>
      <c r="E22" s="126">
        <f>'Cross-section'!I14</f>
        <v>0</v>
      </c>
    </row>
    <row r="23" spans="2:5" ht="16.95" customHeight="1" thickBot="1" x14ac:dyDescent="0.3">
      <c r="B23" s="116" t="s">
        <v>79</v>
      </c>
      <c r="C23" s="124">
        <f>'Cross-section'!G15</f>
        <v>1.4277715565509519</v>
      </c>
      <c r="D23" s="125">
        <f>'Cross-section'!H15</f>
        <v>0</v>
      </c>
      <c r="E23" s="126">
        <f>'Cross-section'!I15</f>
        <v>0</v>
      </c>
    </row>
    <row r="24" spans="2:5" ht="16.95" customHeight="1" thickTop="1" x14ac:dyDescent="0.25">
      <c r="B24" s="117" t="s">
        <v>17</v>
      </c>
      <c r="C24" s="151" t="s">
        <v>54</v>
      </c>
      <c r="D24" s="152"/>
      <c r="E24" s="153"/>
    </row>
    <row r="25" spans="2:5" ht="16.95" customHeight="1" x14ac:dyDescent="0.25">
      <c r="B25" s="40" t="s">
        <v>80</v>
      </c>
      <c r="C25" s="124">
        <f>'Cross-section'!G18</f>
        <v>300.01319167525043</v>
      </c>
      <c r="D25" s="125">
        <f>'Cross-section'!H18</f>
        <v>0</v>
      </c>
      <c r="E25" s="126">
        <f>'Cross-section'!I18</f>
        <v>0</v>
      </c>
    </row>
    <row r="26" spans="2:5" ht="16.95" customHeight="1" x14ac:dyDescent="0.25">
      <c r="B26" s="40" t="s">
        <v>81</v>
      </c>
      <c r="C26" s="124">
        <f>'Cross-section'!G19</f>
        <v>2.5780353456757137</v>
      </c>
      <c r="D26" s="125">
        <f>'Cross-section'!H19</f>
        <v>0</v>
      </c>
      <c r="E26" s="126">
        <f>'Cross-section'!I19</f>
        <v>0</v>
      </c>
    </row>
    <row r="27" spans="2:5" ht="16.95" customHeight="1" x14ac:dyDescent="0.25">
      <c r="B27" s="40" t="s">
        <v>51</v>
      </c>
      <c r="C27" s="124">
        <f>'Cross-section'!G20</f>
        <v>0.26964843204040773</v>
      </c>
      <c r="D27" s="125">
        <f>'Cross-section'!H20</f>
        <v>0</v>
      </c>
      <c r="E27" s="126">
        <f>'Cross-section'!I20</f>
        <v>0</v>
      </c>
    </row>
    <row r="28" spans="2:5" ht="16.95" customHeight="1" x14ac:dyDescent="0.25">
      <c r="B28" s="40" t="s">
        <v>82</v>
      </c>
      <c r="C28" s="124">
        <f>'Cross-section'!G21</f>
        <v>0.69516318870620675</v>
      </c>
      <c r="D28" s="125">
        <f>'Cross-section'!H21</f>
        <v>0</v>
      </c>
      <c r="E28" s="126">
        <f>'Cross-section'!I21</f>
        <v>0</v>
      </c>
    </row>
    <row r="29" spans="2:5" ht="16.95" customHeight="1" x14ac:dyDescent="0.25">
      <c r="B29" s="15" t="s">
        <v>66</v>
      </c>
      <c r="C29" s="124">
        <f>'Cross-section'!G22</f>
        <v>21.90639285786585</v>
      </c>
      <c r="D29" s="125">
        <f>'Cross-section'!H22</f>
        <v>0</v>
      </c>
      <c r="E29" s="126">
        <f>'Cross-section'!I22</f>
        <v>0</v>
      </c>
    </row>
    <row r="30" spans="2:5" ht="16.95" customHeight="1" thickBot="1" x14ac:dyDescent="0.3">
      <c r="B30" s="15" t="s">
        <v>67</v>
      </c>
      <c r="C30" s="124">
        <f>'Cross-section'!G23</f>
        <v>66.165965532207665</v>
      </c>
      <c r="D30" s="125">
        <f>'Cross-section'!H23</f>
        <v>0</v>
      </c>
      <c r="E30" s="126">
        <f>'Cross-section'!I23</f>
        <v>0</v>
      </c>
    </row>
    <row r="31" spans="2:5" ht="16.95" customHeight="1" thickTop="1" x14ac:dyDescent="0.25">
      <c r="B31" s="149" t="s">
        <v>17</v>
      </c>
      <c r="C31" s="146" t="s">
        <v>57</v>
      </c>
      <c r="D31" s="147"/>
      <c r="E31" s="148"/>
    </row>
    <row r="32" spans="2:5" ht="16.95" customHeight="1" thickBot="1" x14ac:dyDescent="0.3">
      <c r="B32" s="150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49" t="s">
        <v>17</v>
      </c>
      <c r="C39" s="146" t="s">
        <v>58</v>
      </c>
      <c r="D39" s="147"/>
      <c r="E39" s="148"/>
    </row>
    <row r="40" spans="2:5" ht="16.95" customHeight="1" thickBot="1" x14ac:dyDescent="0.3">
      <c r="B40" s="150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3"/>
  <sheetViews>
    <sheetView zoomScaleNormal="100" workbookViewId="0">
      <selection activeCell="J7" sqref="J7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0" t="s">
        <v>17</v>
      </c>
      <c r="C5" s="161"/>
      <c r="D5" s="161"/>
      <c r="E5" s="161"/>
      <c r="F5" s="162"/>
      <c r="G5" s="160" t="s">
        <v>64</v>
      </c>
      <c r="H5" s="161"/>
      <c r="I5" s="162"/>
      <c r="K5" s="5"/>
      <c r="L5" s="5"/>
    </row>
    <row r="6" spans="2:12" ht="16.5" customHeight="1" x14ac:dyDescent="0.25">
      <c r="B6" s="169" t="s">
        <v>71</v>
      </c>
      <c r="C6" s="170"/>
      <c r="D6" s="170"/>
      <c r="E6" s="170"/>
      <c r="F6" s="171"/>
      <c r="G6" s="157">
        <f>K30</f>
        <v>116.3727999999999</v>
      </c>
      <c r="H6" s="158"/>
      <c r="I6" s="159"/>
      <c r="K6" s="5"/>
      <c r="L6" s="5"/>
    </row>
    <row r="7" spans="2:12" ht="16.5" customHeight="1" x14ac:dyDescent="0.25">
      <c r="B7" s="169" t="s">
        <v>72</v>
      </c>
      <c r="C7" s="170"/>
      <c r="D7" s="170"/>
      <c r="E7" s="170"/>
      <c r="F7" s="171"/>
      <c r="G7" s="157">
        <f t="shared" ref="G7:G15" si="0">K31</f>
        <v>35.72</v>
      </c>
      <c r="H7" s="158"/>
      <c r="I7" s="159"/>
      <c r="J7" s="12"/>
      <c r="K7" s="5"/>
      <c r="L7" s="5"/>
    </row>
    <row r="8" spans="2:12" ht="16.5" customHeight="1" x14ac:dyDescent="0.25">
      <c r="B8" s="169" t="s">
        <v>73</v>
      </c>
      <c r="C8" s="170"/>
      <c r="D8" s="170"/>
      <c r="E8" s="170"/>
      <c r="F8" s="171"/>
      <c r="G8" s="157">
        <f t="shared" si="0"/>
        <v>3.257917133258676</v>
      </c>
      <c r="H8" s="158"/>
      <c r="I8" s="159"/>
      <c r="J8" s="12"/>
      <c r="K8" s="5"/>
      <c r="L8" s="5"/>
    </row>
    <row r="9" spans="2:12" ht="16.5" customHeight="1" x14ac:dyDescent="0.25">
      <c r="B9" s="169" t="s">
        <v>74</v>
      </c>
      <c r="C9" s="170"/>
      <c r="D9" s="170"/>
      <c r="E9" s="170"/>
      <c r="F9" s="171"/>
      <c r="G9" s="157">
        <f t="shared" si="0"/>
        <v>10.964060330249001</v>
      </c>
      <c r="H9" s="158"/>
      <c r="I9" s="159"/>
      <c r="J9" s="12"/>
      <c r="K9" s="5"/>
      <c r="L9" s="5"/>
    </row>
    <row r="10" spans="2:12" ht="16.5" customHeight="1" x14ac:dyDescent="0.25">
      <c r="B10" s="169" t="s">
        <v>75</v>
      </c>
      <c r="C10" s="170"/>
      <c r="D10" s="170"/>
      <c r="E10" s="170"/>
      <c r="F10" s="171"/>
      <c r="G10" s="157">
        <f t="shared" si="0"/>
        <v>4.1099999999999994</v>
      </c>
      <c r="H10" s="158"/>
      <c r="I10" s="159"/>
      <c r="J10" s="12"/>
      <c r="K10" s="5"/>
      <c r="L10" s="5"/>
    </row>
    <row r="11" spans="2:12" ht="16.5" customHeight="1" x14ac:dyDescent="0.25">
      <c r="B11" s="169" t="s">
        <v>76</v>
      </c>
      <c r="C11" s="170"/>
      <c r="D11" s="170"/>
      <c r="E11" s="170"/>
      <c r="F11" s="171"/>
      <c r="G11" s="157">
        <f t="shared" si="0"/>
        <v>1.2615422160504868</v>
      </c>
      <c r="H11" s="158"/>
      <c r="I11" s="159"/>
      <c r="J11" s="12"/>
      <c r="K11" s="5"/>
      <c r="L11" s="5"/>
    </row>
    <row r="12" spans="2:12" ht="16.5" customHeight="1" x14ac:dyDescent="0.25">
      <c r="B12" s="166" t="s">
        <v>25</v>
      </c>
      <c r="C12" s="167"/>
      <c r="D12" s="167"/>
      <c r="E12" s="167"/>
      <c r="F12" s="168"/>
      <c r="G12" s="157">
        <f t="shared" si="0"/>
        <v>4.0999999999999996</v>
      </c>
      <c r="H12" s="158"/>
      <c r="I12" s="159"/>
      <c r="J12" s="12"/>
      <c r="K12" s="5"/>
      <c r="L12" s="5"/>
    </row>
    <row r="13" spans="2:12" ht="16.5" customHeight="1" x14ac:dyDescent="0.25">
      <c r="B13" s="166" t="s">
        <v>77</v>
      </c>
      <c r="C13" s="167"/>
      <c r="D13" s="167"/>
      <c r="E13" s="167"/>
      <c r="F13" s="168"/>
      <c r="G13" s="157">
        <f t="shared" si="0"/>
        <v>0.9975669099756691</v>
      </c>
      <c r="H13" s="158"/>
      <c r="I13" s="159"/>
      <c r="J13" s="12"/>
      <c r="K13" s="5"/>
      <c r="L13" s="5"/>
    </row>
    <row r="14" spans="2:12" ht="16.5" customHeight="1" x14ac:dyDescent="0.25">
      <c r="B14" s="163" t="s">
        <v>78</v>
      </c>
      <c r="C14" s="164"/>
      <c r="D14" s="164"/>
      <c r="E14" s="164"/>
      <c r="F14" s="165"/>
      <c r="G14" s="157">
        <f t="shared" si="0"/>
        <v>51</v>
      </c>
      <c r="H14" s="158"/>
      <c r="I14" s="159"/>
      <c r="J14" s="12"/>
      <c r="K14" s="5"/>
      <c r="L14" s="5"/>
    </row>
    <row r="15" spans="2:12" ht="16.5" customHeight="1" x14ac:dyDescent="0.25">
      <c r="B15" s="169" t="s">
        <v>79</v>
      </c>
      <c r="C15" s="170"/>
      <c r="D15" s="170"/>
      <c r="E15" s="170"/>
      <c r="F15" s="171"/>
      <c r="G15" s="157">
        <f t="shared" si="0"/>
        <v>1.4277715565509519</v>
      </c>
      <c r="H15" s="158"/>
      <c r="I15" s="159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0" t="s">
        <v>17</v>
      </c>
      <c r="C17" s="161"/>
      <c r="D17" s="161"/>
      <c r="E17" s="161"/>
      <c r="F17" s="162"/>
      <c r="G17" s="160" t="s">
        <v>54</v>
      </c>
      <c r="H17" s="161"/>
      <c r="I17" s="162"/>
      <c r="K17" s="5"/>
      <c r="L17" s="5"/>
    </row>
    <row r="18" spans="2:12" ht="16.5" customHeight="1" x14ac:dyDescent="0.25">
      <c r="B18" s="169" t="s">
        <v>80</v>
      </c>
      <c r="C18" s="170"/>
      <c r="D18" s="170"/>
      <c r="E18" s="170"/>
      <c r="F18" s="171"/>
      <c r="G18" s="154">
        <f>K44</f>
        <v>300.01319167525043</v>
      </c>
      <c r="H18" s="155"/>
      <c r="I18" s="156"/>
      <c r="K18" s="5"/>
      <c r="L18" s="5"/>
    </row>
    <row r="19" spans="2:12" ht="16.5" customHeight="1" x14ac:dyDescent="0.25">
      <c r="B19" s="169" t="s">
        <v>81</v>
      </c>
      <c r="C19" s="170"/>
      <c r="D19" s="170"/>
      <c r="E19" s="170"/>
      <c r="F19" s="171"/>
      <c r="G19" s="124">
        <f t="shared" ref="G19:G23" si="1">K45</f>
        <v>2.5780353456757137</v>
      </c>
      <c r="H19" s="125"/>
      <c r="I19" s="126"/>
      <c r="K19" s="5"/>
      <c r="L19" s="5"/>
    </row>
    <row r="20" spans="2:12" ht="16.5" customHeight="1" x14ac:dyDescent="0.25">
      <c r="B20" s="169" t="s">
        <v>82</v>
      </c>
      <c r="C20" s="170"/>
      <c r="D20" s="170"/>
      <c r="E20" s="170"/>
      <c r="F20" s="171"/>
      <c r="G20" s="124">
        <f t="shared" si="1"/>
        <v>0.26964843204040773</v>
      </c>
      <c r="H20" s="125"/>
      <c r="I20" s="126"/>
      <c r="J20" s="2"/>
      <c r="K20" s="5"/>
      <c r="L20" s="5"/>
    </row>
    <row r="21" spans="2:12" ht="16.5" customHeight="1" x14ac:dyDescent="0.25">
      <c r="B21" s="169" t="s">
        <v>49</v>
      </c>
      <c r="C21" s="170"/>
      <c r="D21" s="170"/>
      <c r="E21" s="170"/>
      <c r="F21" s="171"/>
      <c r="G21" s="124">
        <f t="shared" si="1"/>
        <v>0.69516318870620675</v>
      </c>
      <c r="H21" s="125"/>
      <c r="I21" s="126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4">
        <f t="shared" si="1"/>
        <v>21.90639285786585</v>
      </c>
      <c r="H22" s="155"/>
      <c r="I22" s="156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4">
        <f t="shared" si="1"/>
        <v>66.165965532207665</v>
      </c>
      <c r="H23" s="155"/>
      <c r="I23" s="156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8.23</v>
      </c>
      <c r="D29" s="122"/>
      <c r="E29" s="30">
        <v>100.41</v>
      </c>
      <c r="F29" s="31">
        <f t="shared" ref="F29:F32" si="2">IF(E29&gt;0,IF(E29&lt;K$29,K$29-E29,0),0)</f>
        <v>0</v>
      </c>
      <c r="G29" s="32">
        <f t="shared" ref="G29:G32" si="3">IF(E29&gt;0,IF(E29&lt;=K$29,C29-C28,0),0)</f>
        <v>0</v>
      </c>
      <c r="H29" s="31">
        <f t="shared" ref="H29:H32" si="4">IF(E29&lt;=K$29,G29*(F28+F29)/2,0)</f>
        <v>0</v>
      </c>
      <c r="J29" s="33" t="s">
        <v>15</v>
      </c>
      <c r="K29" s="34">
        <f>LOOKUP("LBKF",B29:E52)</f>
        <v>93.61</v>
      </c>
      <c r="L29" s="35"/>
    </row>
    <row r="30" spans="2:12" ht="16.5" customHeight="1" x14ac:dyDescent="0.25">
      <c r="B30" s="120"/>
      <c r="C30" s="121">
        <v>14.74</v>
      </c>
      <c r="D30" s="122"/>
      <c r="E30" s="30">
        <v>99.93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SUM(H29:H52)</f>
        <v>116.3727999999999</v>
      </c>
      <c r="L30" s="35"/>
    </row>
    <row r="31" spans="2:12" ht="16.5" customHeight="1" x14ac:dyDescent="0.25">
      <c r="B31" s="120"/>
      <c r="C31" s="121">
        <v>17.89</v>
      </c>
      <c r="D31" s="122"/>
      <c r="E31" s="30">
        <v>96.84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LOOKUP("RBKF",B29:C52)-LOOKUP("LBKF",B29:C52)</f>
        <v>35.72</v>
      </c>
      <c r="L31" s="35"/>
    </row>
    <row r="32" spans="2:12" ht="16.5" customHeight="1" x14ac:dyDescent="0.25">
      <c r="B32" s="120" t="s">
        <v>2</v>
      </c>
      <c r="C32" s="121">
        <v>20.6</v>
      </c>
      <c r="D32" s="122"/>
      <c r="E32" s="30">
        <v>93.61</v>
      </c>
      <c r="F32" s="31">
        <f t="shared" si="2"/>
        <v>0</v>
      </c>
      <c r="G32" s="32">
        <f t="shared" si="3"/>
        <v>2.7100000000000009</v>
      </c>
      <c r="H32" s="31">
        <f t="shared" si="4"/>
        <v>0</v>
      </c>
      <c r="J32" s="37" t="s">
        <v>73</v>
      </c>
      <c r="K32" s="11">
        <f>K30/K31</f>
        <v>3.257917133258676</v>
      </c>
      <c r="L32" s="35"/>
    </row>
    <row r="33" spans="2:13" ht="16.5" customHeight="1" x14ac:dyDescent="0.25">
      <c r="B33" s="120"/>
      <c r="C33" s="121">
        <v>20.96</v>
      </c>
      <c r="D33" s="122"/>
      <c r="E33" s="30">
        <v>93.19</v>
      </c>
      <c r="F33" s="31">
        <f t="shared" ref="F33" si="5">IF(E33&gt;0,IF(E33&lt;K$29,K$29-E33,0),0)</f>
        <v>0.42000000000000171</v>
      </c>
      <c r="G33" s="32">
        <f t="shared" ref="G33" si="6">IF(E33&gt;0,IF(E33&lt;=K$29,C33-C32,0),0)</f>
        <v>0.35999999999999943</v>
      </c>
      <c r="H33" s="31">
        <f t="shared" ref="H33" si="7">IF(E33&lt;=K$29,G33*(F32+F33)/2,0)</f>
        <v>7.5600000000000181E-2</v>
      </c>
      <c r="J33" s="37" t="s">
        <v>74</v>
      </c>
      <c r="K33" s="38">
        <f>K31/K32</f>
        <v>10.964060330249001</v>
      </c>
      <c r="L33" s="35"/>
    </row>
    <row r="34" spans="2:13" ht="16.5" customHeight="1" x14ac:dyDescent="0.25">
      <c r="B34" s="120"/>
      <c r="C34" s="121">
        <v>22.38</v>
      </c>
      <c r="D34" s="122"/>
      <c r="E34" s="30">
        <v>91.32</v>
      </c>
      <c r="F34" s="31">
        <f t="shared" ref="F34:F50" si="8">IF(E34&gt;0,IF(E34&lt;K$29,K$29-E34,0),0)</f>
        <v>2.2900000000000063</v>
      </c>
      <c r="G34" s="32">
        <f t="shared" ref="G34:G50" si="9">IF(E34&gt;0,IF(E34&lt;=K$29,C34-C33,0),0)</f>
        <v>1.4199999999999982</v>
      </c>
      <c r="H34" s="31">
        <f t="shared" ref="H34:H50" si="10">IF(E34&lt;=K$29,G34*(F33+F34)/2,0)</f>
        <v>1.9241000000000033</v>
      </c>
      <c r="J34" s="37" t="s">
        <v>75</v>
      </c>
      <c r="K34" s="11">
        <f>MAX(F29:F52)</f>
        <v>4.1099999999999994</v>
      </c>
      <c r="L34" s="35"/>
    </row>
    <row r="35" spans="2:13" ht="16.5" customHeight="1" x14ac:dyDescent="0.25">
      <c r="B35" s="120"/>
      <c r="C35" s="121">
        <v>22.63</v>
      </c>
      <c r="D35" s="122"/>
      <c r="E35" s="30">
        <v>89.68</v>
      </c>
      <c r="F35" s="31">
        <f t="shared" si="8"/>
        <v>3.9299999999999926</v>
      </c>
      <c r="G35" s="32">
        <f t="shared" si="9"/>
        <v>0.25</v>
      </c>
      <c r="H35" s="31">
        <f t="shared" si="10"/>
        <v>0.77749999999999986</v>
      </c>
      <c r="J35" s="37" t="s">
        <v>76</v>
      </c>
      <c r="K35" s="39">
        <f>K34/K32</f>
        <v>1.2615422160504868</v>
      </c>
      <c r="L35" s="35"/>
    </row>
    <row r="36" spans="2:13" ht="16.5" customHeight="1" x14ac:dyDescent="0.25">
      <c r="B36" s="120"/>
      <c r="C36" s="121">
        <v>30.71</v>
      </c>
      <c r="D36" s="122"/>
      <c r="E36" s="30">
        <v>89.51</v>
      </c>
      <c r="F36" s="31">
        <f t="shared" si="8"/>
        <v>4.0999999999999943</v>
      </c>
      <c r="G36" s="32">
        <f t="shared" si="9"/>
        <v>8.0800000000000018</v>
      </c>
      <c r="H36" s="31">
        <f t="shared" si="10"/>
        <v>32.441199999999952</v>
      </c>
      <c r="J36" s="40" t="s">
        <v>25</v>
      </c>
      <c r="K36" s="41">
        <v>4.0999999999999996</v>
      </c>
      <c r="L36" s="35"/>
    </row>
    <row r="37" spans="2:13" ht="16.5" customHeight="1" x14ac:dyDescent="0.25">
      <c r="B37" s="120"/>
      <c r="C37" s="121">
        <v>42.44</v>
      </c>
      <c r="D37" s="122"/>
      <c r="E37" s="30">
        <v>89.5</v>
      </c>
      <c r="F37" s="31">
        <f t="shared" si="8"/>
        <v>4.1099999999999994</v>
      </c>
      <c r="G37" s="32">
        <f t="shared" si="9"/>
        <v>11.729999999999997</v>
      </c>
      <c r="H37" s="31">
        <f t="shared" si="10"/>
        <v>48.151649999999954</v>
      </c>
      <c r="J37" s="40" t="s">
        <v>77</v>
      </c>
      <c r="K37" s="42">
        <f>+K36/K34</f>
        <v>0.9975669099756691</v>
      </c>
      <c r="L37" s="35"/>
    </row>
    <row r="38" spans="2:13" ht="16.5" customHeight="1" x14ac:dyDescent="0.25">
      <c r="B38" s="120"/>
      <c r="C38" s="121">
        <v>45.4</v>
      </c>
      <c r="D38" s="122"/>
      <c r="E38" s="30">
        <v>89.75</v>
      </c>
      <c r="F38" s="31">
        <f t="shared" si="8"/>
        <v>3.8599999999999994</v>
      </c>
      <c r="G38" s="32">
        <f t="shared" si="9"/>
        <v>2.9600000000000009</v>
      </c>
      <c r="H38" s="31">
        <f t="shared" si="10"/>
        <v>11.795600000000002</v>
      </c>
      <c r="J38" s="43" t="s">
        <v>78</v>
      </c>
      <c r="K38" s="44">
        <v>51</v>
      </c>
      <c r="L38" s="35"/>
    </row>
    <row r="39" spans="2:13" ht="16.5" customHeight="1" x14ac:dyDescent="0.25">
      <c r="B39" s="120"/>
      <c r="C39" s="121">
        <v>47.15</v>
      </c>
      <c r="D39" s="122"/>
      <c r="E39" s="30">
        <v>90.33</v>
      </c>
      <c r="F39" s="31">
        <f t="shared" si="8"/>
        <v>3.2800000000000011</v>
      </c>
      <c r="G39" s="32">
        <f t="shared" si="9"/>
        <v>1.75</v>
      </c>
      <c r="H39" s="31">
        <f t="shared" si="10"/>
        <v>6.2475000000000005</v>
      </c>
      <c r="J39" s="37" t="s">
        <v>79</v>
      </c>
      <c r="K39" s="11">
        <f>K38/K31</f>
        <v>1.4277715565509519</v>
      </c>
      <c r="L39" s="35"/>
    </row>
    <row r="40" spans="2:13" ht="16.5" customHeight="1" x14ac:dyDescent="0.25">
      <c r="B40" s="120"/>
      <c r="C40" s="121">
        <v>49.75</v>
      </c>
      <c r="D40" s="122"/>
      <c r="E40" s="30">
        <v>90.61</v>
      </c>
      <c r="F40" s="31">
        <f t="shared" si="8"/>
        <v>3</v>
      </c>
      <c r="G40" s="32">
        <f t="shared" si="9"/>
        <v>2.6000000000000014</v>
      </c>
      <c r="H40" s="31">
        <f t="shared" si="10"/>
        <v>8.1640000000000068</v>
      </c>
      <c r="J40" s="37" t="s">
        <v>8</v>
      </c>
      <c r="K40" s="109">
        <f>+'Longitudinal Profile'!$H$9</f>
        <v>1.5683496913892658E-3</v>
      </c>
      <c r="L40" s="45"/>
    </row>
    <row r="41" spans="2:13" ht="16.5" customHeight="1" x14ac:dyDescent="0.25">
      <c r="B41" s="120"/>
      <c r="C41" s="121">
        <v>52.39</v>
      </c>
      <c r="D41" s="122"/>
      <c r="E41" s="30">
        <v>92.87</v>
      </c>
      <c r="F41" s="31">
        <f t="shared" si="8"/>
        <v>0.73999999999999488</v>
      </c>
      <c r="G41" s="32">
        <f t="shared" si="9"/>
        <v>2.6400000000000006</v>
      </c>
      <c r="H41" s="31">
        <f t="shared" si="10"/>
        <v>4.9367999999999945</v>
      </c>
      <c r="J41" s="37" t="s">
        <v>10</v>
      </c>
      <c r="K41" s="46">
        <v>4.4999999999999998E-2</v>
      </c>
      <c r="L41" s="45"/>
    </row>
    <row r="42" spans="2:13" ht="16.5" customHeight="1" x14ac:dyDescent="0.25">
      <c r="B42" s="120"/>
      <c r="C42" s="121">
        <v>55.98</v>
      </c>
      <c r="D42" s="122"/>
      <c r="E42" s="30">
        <v>93.34</v>
      </c>
      <c r="F42" s="31">
        <f t="shared" si="8"/>
        <v>0.26999999999999602</v>
      </c>
      <c r="G42" s="32">
        <f t="shared" si="9"/>
        <v>3.5899999999999963</v>
      </c>
      <c r="H42" s="31">
        <f t="shared" si="10"/>
        <v>1.8129499999999819</v>
      </c>
      <c r="J42" s="37" t="s">
        <v>27</v>
      </c>
      <c r="K42" s="14">
        <f>K31+2*K32</f>
        <v>42.235834266517351</v>
      </c>
      <c r="L42" s="47"/>
      <c r="M42" s="47"/>
    </row>
    <row r="43" spans="2:13" ht="16.5" customHeight="1" x14ac:dyDescent="0.25">
      <c r="B43" s="120" t="s">
        <v>3</v>
      </c>
      <c r="C43" s="121">
        <v>56.32</v>
      </c>
      <c r="D43" s="122"/>
      <c r="E43" s="30">
        <v>93.61</v>
      </c>
      <c r="F43" s="31">
        <f t="shared" si="8"/>
        <v>0</v>
      </c>
      <c r="G43" s="32">
        <f t="shared" si="9"/>
        <v>0.34000000000000341</v>
      </c>
      <c r="H43" s="31">
        <f t="shared" si="10"/>
        <v>4.5899999999999781E-2</v>
      </c>
      <c r="J43" s="37" t="s">
        <v>9</v>
      </c>
      <c r="K43" s="14">
        <f>K30/K42</f>
        <v>2.7553096090315652</v>
      </c>
      <c r="L43" s="47"/>
      <c r="M43" s="47"/>
    </row>
    <row r="44" spans="2:13" ht="16.5" customHeight="1" x14ac:dyDescent="0.25">
      <c r="B44" s="120"/>
      <c r="C44" s="121">
        <v>59.23</v>
      </c>
      <c r="D44" s="122"/>
      <c r="E44" s="30">
        <v>94.3</v>
      </c>
      <c r="F44" s="31">
        <f t="shared" si="8"/>
        <v>0</v>
      </c>
      <c r="G44" s="32">
        <f t="shared" si="9"/>
        <v>0</v>
      </c>
      <c r="H44" s="31">
        <f t="shared" si="10"/>
        <v>0</v>
      </c>
      <c r="J44" s="37" t="s">
        <v>80</v>
      </c>
      <c r="K44" s="14">
        <f>K30*1.49*(K43^0.667)*(K40^0.5)/K41</f>
        <v>300.01319167525043</v>
      </c>
    </row>
    <row r="45" spans="2:13" ht="16.5" customHeight="1" x14ac:dyDescent="0.25">
      <c r="B45" s="120"/>
      <c r="C45" s="121">
        <v>61.62</v>
      </c>
      <c r="D45" s="122"/>
      <c r="E45" s="30">
        <v>94.76</v>
      </c>
      <c r="F45" s="31">
        <f t="shared" si="8"/>
        <v>0</v>
      </c>
      <c r="G45" s="32">
        <f t="shared" si="9"/>
        <v>0</v>
      </c>
      <c r="H45" s="31">
        <f t="shared" si="10"/>
        <v>0</v>
      </c>
      <c r="J45" s="37" t="s">
        <v>81</v>
      </c>
      <c r="K45" s="14">
        <f>K44/K30</f>
        <v>2.5780353456757137</v>
      </c>
    </row>
    <row r="46" spans="2:13" ht="16.5" customHeight="1" x14ac:dyDescent="0.25">
      <c r="B46" s="120"/>
      <c r="C46" s="121">
        <v>63.05</v>
      </c>
      <c r="D46" s="122"/>
      <c r="E46" s="30">
        <v>95.36</v>
      </c>
      <c r="F46" s="31">
        <f t="shared" si="8"/>
        <v>0</v>
      </c>
      <c r="G46" s="32">
        <f t="shared" si="9"/>
        <v>0</v>
      </c>
      <c r="H46" s="31">
        <f t="shared" si="10"/>
        <v>0</v>
      </c>
      <c r="J46" s="37" t="s">
        <v>82</v>
      </c>
      <c r="K46" s="42">
        <f>62.4*K43*K40</f>
        <v>0.26964843204040773</v>
      </c>
    </row>
    <row r="47" spans="2:13" ht="16.5" customHeight="1" x14ac:dyDescent="0.25">
      <c r="B47" s="120"/>
      <c r="C47" s="121">
        <v>65.53</v>
      </c>
      <c r="D47" s="122"/>
      <c r="E47" s="30">
        <v>97.54</v>
      </c>
      <c r="F47" s="31">
        <f t="shared" si="8"/>
        <v>0</v>
      </c>
      <c r="G47" s="32">
        <f t="shared" si="9"/>
        <v>0</v>
      </c>
      <c r="H47" s="31">
        <f t="shared" si="10"/>
        <v>0</v>
      </c>
      <c r="J47" s="37" t="s">
        <v>49</v>
      </c>
      <c r="K47" s="42">
        <f>K46*K45</f>
        <v>0.69516318870620675</v>
      </c>
    </row>
    <row r="48" spans="2:13" ht="16.5" customHeight="1" x14ac:dyDescent="0.25">
      <c r="B48" s="120"/>
      <c r="C48" s="121">
        <v>68.150000000000006</v>
      </c>
      <c r="D48" s="122"/>
      <c r="E48" s="30">
        <v>98.25</v>
      </c>
      <c r="F48" s="31">
        <f t="shared" si="8"/>
        <v>0</v>
      </c>
      <c r="G48" s="32">
        <f t="shared" si="9"/>
        <v>0</v>
      </c>
      <c r="H48" s="31">
        <f t="shared" si="10"/>
        <v>0</v>
      </c>
      <c r="J48" s="15" t="s">
        <v>55</v>
      </c>
      <c r="K48" s="48">
        <f>77.966*(K46*1.042)</f>
        <v>21.90639285786585</v>
      </c>
    </row>
    <row r="49" spans="2:11" ht="16.5" customHeight="1" x14ac:dyDescent="0.25">
      <c r="B49" s="120"/>
      <c r="C49" s="121">
        <v>73.930000000000007</v>
      </c>
      <c r="D49" s="122"/>
      <c r="E49" s="30">
        <v>99.94</v>
      </c>
      <c r="F49" s="31">
        <f t="shared" si="8"/>
        <v>0</v>
      </c>
      <c r="G49" s="32">
        <f t="shared" si="9"/>
        <v>0</v>
      </c>
      <c r="H49" s="31">
        <f t="shared" si="10"/>
        <v>0</v>
      </c>
      <c r="J49" s="15" t="s">
        <v>56</v>
      </c>
      <c r="K49" s="48">
        <f>253.7*(K46*0.9672)</f>
        <v>66.165965532207665</v>
      </c>
    </row>
    <row r="50" spans="2:11" ht="16.5" customHeight="1" x14ac:dyDescent="0.25">
      <c r="B50" s="120"/>
      <c r="C50" s="121">
        <v>88.06</v>
      </c>
      <c r="D50" s="122"/>
      <c r="E50" s="30">
        <v>99.37</v>
      </c>
      <c r="F50" s="31">
        <f t="shared" si="8"/>
        <v>0</v>
      </c>
      <c r="G50" s="32">
        <f t="shared" si="9"/>
        <v>0</v>
      </c>
      <c r="H50" s="31">
        <f t="shared" si="10"/>
        <v>0</v>
      </c>
      <c r="J50" s="2"/>
    </row>
    <row r="51" spans="2:11" ht="16.5" customHeight="1" x14ac:dyDescent="0.25">
      <c r="B51" s="120"/>
      <c r="C51" s="121"/>
      <c r="D51" s="122"/>
      <c r="E51" s="30"/>
      <c r="F51" s="31"/>
      <c r="G51" s="32"/>
      <c r="H51" s="31"/>
    </row>
    <row r="52" spans="2:11" ht="16.5" customHeight="1" x14ac:dyDescent="0.25">
      <c r="B52" s="120"/>
      <c r="C52" s="121"/>
      <c r="D52" s="122"/>
      <c r="E52" s="30"/>
      <c r="F52" s="31"/>
      <c r="G52" s="32"/>
      <c r="H52" s="31"/>
    </row>
    <row r="53" spans="2:11" ht="16.5" customHeight="1" x14ac:dyDescent="0.25">
      <c r="B53" s="49"/>
      <c r="C53" s="50"/>
      <c r="D53" s="50"/>
      <c r="E53" s="50"/>
      <c r="F53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1" sqref="D1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5" t="s">
        <v>17</v>
      </c>
      <c r="K5" s="176"/>
      <c r="L5" s="179" t="s">
        <v>47</v>
      </c>
      <c r="M5" s="180"/>
      <c r="N5" s="180"/>
      <c r="O5" s="180"/>
      <c r="P5" s="180"/>
      <c r="Q5" s="180"/>
      <c r="R5" s="180"/>
      <c r="S5" s="181"/>
      <c r="T5" s="174" t="s">
        <v>34</v>
      </c>
      <c r="U5" s="174"/>
      <c r="V5" s="174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v>100</v>
      </c>
      <c r="F6" s="177" t="s">
        <v>28</v>
      </c>
      <c r="G6" s="178"/>
      <c r="H6" s="74">
        <f>H7/H11</f>
        <v>166.10084033613447</v>
      </c>
      <c r="I6" s="70"/>
      <c r="J6" s="176"/>
      <c r="K6" s="176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v>197.66</v>
      </c>
      <c r="D7" s="73">
        <v>99.69</v>
      </c>
      <c r="F7" s="76" t="s">
        <v>29</v>
      </c>
      <c r="G7" s="77"/>
      <c r="H7" s="39">
        <f>C7-C6</f>
        <v>197.66</v>
      </c>
      <c r="I7" s="67"/>
      <c r="J7" s="175" t="s">
        <v>85</v>
      </c>
      <c r="K7" s="175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>
        <f>D6-D7</f>
        <v>0.31000000000000227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123">
        <f>H8/H7</f>
        <v>1.5683496913892658E-3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1.8663361327532263E-3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2" t="s">
        <v>33</v>
      </c>
      <c r="G11" s="173"/>
      <c r="H11" s="31">
        <v>1.19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F3" sqref="F3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75" t="s">
        <v>17</v>
      </c>
      <c r="C5" s="179" t="s">
        <v>35</v>
      </c>
      <c r="D5" s="180"/>
      <c r="E5" s="180"/>
      <c r="F5" s="180"/>
      <c r="G5" s="180"/>
      <c r="H5" s="174" t="s">
        <v>34</v>
      </c>
      <c r="I5" s="174"/>
      <c r="J5" s="174"/>
    </row>
    <row r="6" spans="2:10" ht="16.5" customHeight="1" thickBot="1" x14ac:dyDescent="0.3">
      <c r="B6" s="182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