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F30" i="81"/>
  <c r="F32" i="81"/>
  <c r="G33" i="81"/>
  <c r="G35" i="81"/>
  <c r="G38" i="81"/>
  <c r="F40" i="81"/>
  <c r="G30" i="81"/>
  <c r="H30" i="81" s="1"/>
  <c r="G32" i="81"/>
  <c r="F34" i="81"/>
  <c r="F37" i="81"/>
  <c r="F39" i="81"/>
  <c r="G40" i="81"/>
  <c r="F31" i="81"/>
  <c r="H32" i="81" s="1"/>
  <c r="G34" i="81"/>
  <c r="F36" i="81"/>
  <c r="G37" i="81"/>
  <c r="G39" i="81"/>
  <c r="H40" i="81"/>
  <c r="G31" i="81"/>
  <c r="F33" i="81"/>
  <c r="F35" i="81"/>
  <c r="G36" i="81"/>
  <c r="F38" i="81"/>
  <c r="G7" i="81"/>
  <c r="C15" i="73" s="1"/>
  <c r="H39" i="81" l="1"/>
  <c r="H35" i="81"/>
  <c r="H37" i="81"/>
  <c r="H31" i="81"/>
  <c r="H36" i="81"/>
  <c r="H34" i="81"/>
  <c r="H33" i="81"/>
  <c r="H38" i="81"/>
  <c r="K34" i="81"/>
  <c r="K30" i="81" l="1"/>
  <c r="K32" i="81" s="1"/>
  <c r="G10" i="81"/>
  <c r="C18" i="73" s="1"/>
  <c r="K37" i="81"/>
  <c r="G13" i="81" s="1"/>
  <c r="C21" i="73" s="1"/>
  <c r="G6" i="81" l="1"/>
  <c r="C14" i="73" s="1"/>
  <c r="K33" i="81"/>
  <c r="G9" i="81" s="1"/>
  <c r="C17" i="73" s="1"/>
  <c r="K35" i="81"/>
  <c r="G11" i="81" s="1"/>
  <c r="C19" i="73" s="1"/>
  <c r="K42" i="81"/>
  <c r="K43" i="81" s="1"/>
  <c r="K44" i="81" s="1"/>
  <c r="G8" i="81"/>
  <c r="C16" i="73" s="1"/>
  <c r="K46" i="81" l="1"/>
  <c r="K48" i="81" s="1"/>
  <c r="G22" i="81" s="1"/>
  <c r="C29" i="73" s="1"/>
  <c r="G18" i="81"/>
  <c r="C25" i="73" s="1"/>
  <c r="K45" i="81"/>
  <c r="G19" i="81" s="1"/>
  <c r="C26" i="73" s="1"/>
  <c r="G20" i="81" l="1"/>
  <c r="C27" i="73" s="1"/>
  <c r="K49" i="81"/>
  <c r="G23" i="81" s="1"/>
  <c r="C30" i="73" s="1"/>
  <c r="K47" i="8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<sst xmlns="http://schemas.openxmlformats.org/spreadsheetml/2006/main" count="172" uniqueCount="111">
  <si>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</si>
  <si>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</si>
  <si>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</si>
  <si>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</si>
  <si>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</si>
  <si>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</si>
  <si>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</si>
  <si>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</si>
  <si>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</si>
  <si>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</si>
  <si>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</si>
  <si>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</si>
  <si>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</si>
  <si>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</si>
  <si>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</si>
  <si>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</si>
  <si>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</si>
  <si>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</si>
  <si>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</si>
  <si>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</si>
  <si>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</si>
  <si>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</si>
  <si>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</si>
  <si>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</si>
  <si>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</si>
  <si>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</si>
  <si>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</si>
  <si>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</si>
  <si>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</si>
  <si>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</si>
  <si>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</si>
  <si>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</si>
  <si>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</si>
  <si>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</si>
  <si>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</si>
  <si>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</si>
  <si>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</si>
  <si>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</si>
  <si>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</si>
  <si>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</si>
  <si>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</si>
  <si>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</si>
  <si>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</si>
  <si>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</si>
  <si>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</si>
  <si>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</si>
  <si>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</si>
  <si>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</si>
  <si>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</si>
  <si>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</si>
  <si>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</si>
  <si>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</si>
  <si>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</si>
  <si>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</si>
  <si>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</si>
  <si>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</si>
  <si>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</si>
  <si>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</si>
  <si>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</si>
  <si>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</si>
  <si>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</si>
  <si>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</si>
  <si>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</si>
  <si>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</si>
  <si>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</si>
  <si>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</si>
  <si>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</si>
  <si>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</si>
  <si>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</si>
  <si>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</si>
  <si>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</si>
  <si>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</si>
  <si>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</si>
  <si>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</si>
  <si>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</si>
  <si>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</si>
  <si>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</si>
  <si>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</si>
  <si>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</si>
  <si>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</si>
  <si>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</si>
  <si>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</si>
  <si>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</si>
  <si>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</si>
  <si>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</si>
  <si>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</si>
  <si>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</si>
  <si>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</si>
  <si>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</si>
  <si>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</si>
  <si>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</si>
  <si>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</si>
  <si>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</si>
  <si>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</si>
  <si>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</si>
  <si>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</si>
  <si>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</si>
  <si>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</si>
  <si>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</si>
  <si>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</si>
  <si>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</si>
  <si>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</si>
  <si>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</si>
  <si>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</si>
  <si>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Wells Branch, SCDNR Fish Site</t>
  </si>
  <si>
    <t>33.111540, -81.261873</t>
  </si>
  <si>
    <t>Wells Branch</t>
  </si>
  <si>
    <t>sand</t>
  </si>
  <si>
    <t>&gt;321</t>
  </si>
  <si>
    <t>&gt;10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</si>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</sst>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13.649999999999999</c:v>
                </c:pt>
                <c:pt idx="2">
                  <c:v>19.669999999999998</c:v>
                </c:pt>
                <c:pt idx="3">
                  <c:v>20.5</c:v>
                </c:pt>
                <c:pt idx="4">
                  <c:v>21.16</c:v>
                </c:pt>
                <c:pt idx="5">
                  <c:v>23.669999999999998</c:v>
                </c:pt>
                <c:pt idx="6">
                  <c:v>31.56</c:v>
                </c:pt>
                <c:pt idx="7">
                  <c:v>35.910000000000004</c:v>
                </c:pt>
                <c:pt idx="8">
                  <c:v>38.200000000000003</c:v>
                </c:pt>
                <c:pt idx="9">
                  <c:v>39.520000000000003</c:v>
                </c:pt>
                <c:pt idx="10">
                  <c:v>44.49</c:v>
                </c:pt>
                <c:pt idx="11">
                  <c:v>45.74</c:v>
                </c:pt>
                <c:pt idx="12">
                  <c:v>45.81</c:v>
                </c:pt>
                <c:pt idx="13">
                  <c:v>55.03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101.62</c:v>
                </c:pt>
                <c:pt idx="1">
                  <c:v>101.32</c:v>
                </c:pt>
                <c:pt idx="2">
                  <c:v>100.75</c:v>
                </c:pt>
                <c:pt idx="3">
                  <c:v>100.36</c:v>
                </c:pt>
                <c:pt idx="4">
                  <c:v>99.72</c:v>
                </c:pt>
                <c:pt idx="5">
                  <c:v>98.89</c:v>
                </c:pt>
                <c:pt idx="6">
                  <c:v>98.96</c:v>
                </c:pt>
                <c:pt idx="7">
                  <c:v>100.15</c:v>
                </c:pt>
                <c:pt idx="8">
                  <c:v>100.07</c:v>
                </c:pt>
                <c:pt idx="9">
                  <c:v>100.83</c:v>
                </c:pt>
                <c:pt idx="10">
                  <c:v>100.97</c:v>
                </c:pt>
                <c:pt idx="11">
                  <c:v>101.32</c:v>
                </c:pt>
                <c:pt idx="12">
                  <c:v>101.34</c:v>
                </c:pt>
                <c:pt idx="13">
                  <c:v>101.39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98400"/>
        <c:axId val="133789256"/>
      </c:scatterChart>
      <c:valAx>
        <c:axId val="1317984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89256"/>
        <c:crosses val="autoZero"/>
        <c:crossBetween val="midCat"/>
      </c:valAx>
      <c:valAx>
        <c:axId val="1337892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79840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87688"/>
        <c:axId val="13379200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378768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3792000"/>
        <c:crosses val="autoZero"/>
        <c:crossBetween val="midCat"/>
        <c:minorUnit val="25"/>
      </c:valAx>
      <c:valAx>
        <c:axId val="13379200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378768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9" sqref="B9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13.5</v>
      </c>
      <c r="D8" s="141"/>
      <c r="E8" s="142"/>
    </row>
    <row r="9" spans="2:5" ht="16.95" customHeight="1" x14ac:dyDescent="0.25">
      <c r="B9" s="15" t="s">
        <v>89</v>
      </c>
      <c r="C9" s="140" t="s">
        <v>107</v>
      </c>
      <c r="D9" s="141"/>
      <c r="E9" s="142"/>
    </row>
    <row r="10" spans="2:5" ht="16.95" customHeight="1" x14ac:dyDescent="0.25">
      <c r="B10" s="15" t="s">
        <v>52</v>
      </c>
      <c r="C10" s="146">
        <f>'Longitudinal Profile'!H9</f>
        <v>1.2834224598930481E-3</v>
      </c>
      <c r="D10" s="147"/>
      <c r="E10" s="148"/>
    </row>
    <row r="11" spans="2:5" ht="16.95" customHeight="1" x14ac:dyDescent="0.25">
      <c r="B11" s="15" t="s">
        <v>53</v>
      </c>
      <c r="C11" s="152">
        <f>'Longitudinal Profile'!H11</f>
        <v>1.0900000000000001</v>
      </c>
      <c r="D11" s="153"/>
      <c r="E11" s="154"/>
    </row>
    <row r="12" spans="2:5" ht="16.95" customHeight="1" thickBot="1" x14ac:dyDescent="0.3">
      <c r="B12" s="15" t="s">
        <v>23</v>
      </c>
      <c r="C12" s="149">
        <f>'Longitudinal Profile'!H7</f>
        <v>93.5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41.05284999999985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32.090000000000003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1.2793035213462089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25.08396128405224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2.4299999999999926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1.8994710476860939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2.42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0.99588477366255446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&gt;321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44.615039648765105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1.0867708246507921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9.4888101540835199E-2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0.10312162036108156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7.7087636451715325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23.283513308272042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3" sqref="G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58" t="s">
        <v>17</v>
      </c>
      <c r="C5" s="159"/>
      <c r="D5" s="159"/>
      <c r="E5" s="159"/>
      <c r="F5" s="160"/>
      <c r="G5" s="158" t="s">
        <v>64</v>
      </c>
      <c r="H5" s="159"/>
      <c r="I5" s="160"/>
      <c r="K5" s="5"/>
      <c r="L5" s="5"/>
    </row>
    <row r="6" spans="2:12" ht="16.5" customHeight="1" x14ac:dyDescent="0.25">
      <c r="B6" s="155" t="s">
        <v>71</v>
      </c>
      <c r="C6" s="156"/>
      <c r="D6" s="156"/>
      <c r="E6" s="156"/>
      <c r="F6" s="157"/>
      <c r="G6" s="161">
        <f>K30</f>
        <v>41.05284999999985</v>
      </c>
      <c r="H6" s="162"/>
      <c r="I6" s="163"/>
      <c r="K6" s="5"/>
      <c r="L6" s="5"/>
    </row>
    <row r="7" spans="2:12" ht="16.5" customHeight="1" x14ac:dyDescent="0.25">
      <c r="B7" s="155" t="s">
        <v>72</v>
      </c>
      <c r="C7" s="156"/>
      <c r="D7" s="156"/>
      <c r="E7" s="156"/>
      <c r="F7" s="157"/>
      <c r="G7" s="161">
        <f t="shared" ref="G7:G15" si="0">K31</f>
        <v>32.090000000000003</v>
      </c>
      <c r="H7" s="162"/>
      <c r="I7" s="163"/>
      <c r="J7" s="12"/>
      <c r="K7" s="5"/>
      <c r="L7" s="5"/>
    </row>
    <row r="8" spans="2:12" ht="16.5" customHeight="1" x14ac:dyDescent="0.25">
      <c r="B8" s="155" t="s">
        <v>73</v>
      </c>
      <c r="C8" s="156"/>
      <c r="D8" s="156"/>
      <c r="E8" s="156"/>
      <c r="F8" s="157"/>
      <c r="G8" s="161">
        <f t="shared" si="0"/>
        <v>1.2793035213462089</v>
      </c>
      <c r="H8" s="162"/>
      <c r="I8" s="163"/>
      <c r="J8" s="12"/>
      <c r="K8" s="5"/>
      <c r="L8" s="5"/>
    </row>
    <row r="9" spans="2:12" ht="16.5" customHeight="1" x14ac:dyDescent="0.25">
      <c r="B9" s="155" t="s">
        <v>74</v>
      </c>
      <c r="C9" s="156"/>
      <c r="D9" s="156"/>
      <c r="E9" s="156"/>
      <c r="F9" s="157"/>
      <c r="G9" s="161">
        <f t="shared" si="0"/>
        <v>25.08396128405224</v>
      </c>
      <c r="H9" s="162"/>
      <c r="I9" s="163"/>
      <c r="J9" s="12"/>
      <c r="K9" s="5"/>
      <c r="L9" s="5"/>
    </row>
    <row r="10" spans="2:12" ht="16.5" customHeight="1" x14ac:dyDescent="0.25">
      <c r="B10" s="155" t="s">
        <v>75</v>
      </c>
      <c r="C10" s="156"/>
      <c r="D10" s="156"/>
      <c r="E10" s="156"/>
      <c r="F10" s="157"/>
      <c r="G10" s="161">
        <f t="shared" si="0"/>
        <v>2.4299999999999926</v>
      </c>
      <c r="H10" s="162"/>
      <c r="I10" s="163"/>
      <c r="J10" s="12"/>
      <c r="K10" s="5"/>
      <c r="L10" s="5"/>
    </row>
    <row r="11" spans="2:12" ht="16.5" customHeight="1" x14ac:dyDescent="0.25">
      <c r="B11" s="155" t="s">
        <v>76</v>
      </c>
      <c r="C11" s="156"/>
      <c r="D11" s="156"/>
      <c r="E11" s="156"/>
      <c r="F11" s="157"/>
      <c r="G11" s="161">
        <f t="shared" si="0"/>
        <v>1.8994710476860939</v>
      </c>
      <c r="H11" s="162"/>
      <c r="I11" s="163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61">
        <f t="shared" si="0"/>
        <v>2.42</v>
      </c>
      <c r="H12" s="162"/>
      <c r="I12" s="163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61">
        <f t="shared" si="0"/>
        <v>0.99588477366255446</v>
      </c>
      <c r="H13" s="162"/>
      <c r="I13" s="163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61" t="str">
        <f t="shared" si="0"/>
        <v>&gt;321</v>
      </c>
      <c r="H14" s="162"/>
      <c r="I14" s="163"/>
      <c r="J14" s="12"/>
      <c r="K14" s="5"/>
      <c r="L14" s="5"/>
    </row>
    <row r="15" spans="2:12" ht="16.5" customHeight="1" x14ac:dyDescent="0.25">
      <c r="B15" s="155" t="s">
        <v>79</v>
      </c>
      <c r="C15" s="156"/>
      <c r="D15" s="156"/>
      <c r="E15" s="156"/>
      <c r="F15" s="157"/>
      <c r="G15" s="161" t="str">
        <f t="shared" si="0"/>
        <v>&gt;10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58" t="s">
        <v>17</v>
      </c>
      <c r="C17" s="159"/>
      <c r="D17" s="159"/>
      <c r="E17" s="159"/>
      <c r="F17" s="160"/>
      <c r="G17" s="158" t="s">
        <v>54</v>
      </c>
      <c r="H17" s="159"/>
      <c r="I17" s="160"/>
      <c r="K17" s="5"/>
      <c r="L17" s="5"/>
    </row>
    <row r="18" spans="2:12" ht="16.5" customHeight="1" x14ac:dyDescent="0.25">
      <c r="B18" s="155" t="s">
        <v>80</v>
      </c>
      <c r="C18" s="156"/>
      <c r="D18" s="156"/>
      <c r="E18" s="156"/>
      <c r="F18" s="157"/>
      <c r="G18" s="170">
        <f>K44</f>
        <v>44.615039648765105</v>
      </c>
      <c r="H18" s="171"/>
      <c r="I18" s="172"/>
      <c r="K18" s="5"/>
      <c r="L18" s="5"/>
    </row>
    <row r="19" spans="2:12" ht="16.5" customHeight="1" x14ac:dyDescent="0.25">
      <c r="B19" s="155" t="s">
        <v>81</v>
      </c>
      <c r="C19" s="156"/>
      <c r="D19" s="156"/>
      <c r="E19" s="156"/>
      <c r="F19" s="157"/>
      <c r="G19" s="130">
        <f t="shared" ref="G19:G23" si="1">K45</f>
        <v>1.0867708246507921</v>
      </c>
      <c r="H19" s="131"/>
      <c r="I19" s="132"/>
      <c r="K19" s="5"/>
      <c r="L19" s="5"/>
    </row>
    <row r="20" spans="2:12" ht="16.5" customHeight="1" x14ac:dyDescent="0.25">
      <c r="B20" s="155" t="s">
        <v>82</v>
      </c>
      <c r="C20" s="156"/>
      <c r="D20" s="156"/>
      <c r="E20" s="156"/>
      <c r="F20" s="157"/>
      <c r="G20" s="130">
        <f t="shared" si="1"/>
        <v>9.4888101540835199E-2</v>
      </c>
      <c r="H20" s="131"/>
      <c r="I20" s="132"/>
      <c r="J20" s="2"/>
      <c r="K20" s="5"/>
      <c r="L20" s="5"/>
    </row>
    <row r="21" spans="2:12" ht="16.5" customHeight="1" x14ac:dyDescent="0.25">
      <c r="B21" s="155" t="s">
        <v>49</v>
      </c>
      <c r="C21" s="156"/>
      <c r="D21" s="156"/>
      <c r="E21" s="156"/>
      <c r="F21" s="157"/>
      <c r="G21" s="130">
        <f t="shared" si="1"/>
        <v>0.10312162036108156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0">
        <f t="shared" si="1"/>
        <v>7.7087636451715325</v>
      </c>
      <c r="H22" s="171"/>
      <c r="I22" s="172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0">
        <f t="shared" si="1"/>
        <v>23.283513308272042</v>
      </c>
      <c r="H23" s="171"/>
      <c r="I23" s="172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101.62</v>
      </c>
      <c r="F29" s="31"/>
      <c r="G29" s="32"/>
      <c r="H29" s="31"/>
      <c r="J29" s="33" t="s">
        <v>15</v>
      </c>
      <c r="K29" s="34">
        <f>LOOKUP("LBKF",B29:E51)</f>
        <v>101.32</v>
      </c>
      <c r="L29" s="35"/>
    </row>
    <row r="30" spans="2:12" ht="16.5" customHeight="1" x14ac:dyDescent="0.25">
      <c r="B30" s="119" t="s">
        <v>2</v>
      </c>
      <c r="C30" s="120">
        <v>13.649999999999999</v>
      </c>
      <c r="D30" s="121"/>
      <c r="E30" s="30">
        <v>101.32</v>
      </c>
      <c r="F30" s="31">
        <f t="shared" ref="F30:F40" si="2">IF(E30&gt;0,IF(E30&lt;K$29,K$29-E30,0),0)</f>
        <v>0</v>
      </c>
      <c r="G30" s="32">
        <f t="shared" ref="G30:G40" si="3">IF(E30&gt;0,IF(E30&lt;=K$29,C30-C29,0),0)</f>
        <v>13.649999999999999</v>
      </c>
      <c r="H30" s="31">
        <f t="shared" ref="H30:H40" si="4">IF(E30&lt;=K$29,G30*(F29+F30)/2,0)</f>
        <v>0</v>
      </c>
      <c r="J30" s="37" t="s">
        <v>71</v>
      </c>
      <c r="K30" s="11">
        <f>SUM(H29:H51)</f>
        <v>41.05284999999985</v>
      </c>
      <c r="L30" s="35"/>
    </row>
    <row r="31" spans="2:12" ht="16.5" customHeight="1" x14ac:dyDescent="0.25">
      <c r="B31" s="119"/>
      <c r="C31" s="120">
        <v>19.669999999999998</v>
      </c>
      <c r="D31" s="121"/>
      <c r="E31" s="30">
        <v>100.75</v>
      </c>
      <c r="F31" s="31">
        <f t="shared" si="2"/>
        <v>0.56999999999999318</v>
      </c>
      <c r="G31" s="32">
        <f t="shared" si="3"/>
        <v>6.02</v>
      </c>
      <c r="H31" s="31">
        <f t="shared" si="4"/>
        <v>1.7156999999999794</v>
      </c>
      <c r="J31" s="37" t="s">
        <v>72</v>
      </c>
      <c r="K31" s="11">
        <f>LOOKUP("RBKF",B29:C51)-LOOKUP("LBKF",B29:C51)</f>
        <v>32.090000000000003</v>
      </c>
      <c r="L31" s="35"/>
    </row>
    <row r="32" spans="2:12" ht="16.5" customHeight="1" x14ac:dyDescent="0.25">
      <c r="B32" s="119"/>
      <c r="C32" s="120">
        <v>20.5</v>
      </c>
      <c r="D32" s="121"/>
      <c r="E32" s="30">
        <v>100.36</v>
      </c>
      <c r="F32" s="31">
        <f t="shared" si="2"/>
        <v>0.95999999999999375</v>
      </c>
      <c r="G32" s="32">
        <f t="shared" si="3"/>
        <v>0.83000000000000185</v>
      </c>
      <c r="H32" s="31">
        <f t="shared" si="4"/>
        <v>0.63494999999999602</v>
      </c>
      <c r="J32" s="37" t="s">
        <v>73</v>
      </c>
      <c r="K32" s="11">
        <f>K30/K31</f>
        <v>1.2793035213462089</v>
      </c>
      <c r="L32" s="35"/>
    </row>
    <row r="33" spans="2:13" ht="16.5" customHeight="1" x14ac:dyDescent="0.25">
      <c r="B33" s="119"/>
      <c r="C33" s="120">
        <v>21.16</v>
      </c>
      <c r="D33" s="121"/>
      <c r="E33" s="30">
        <v>99.72</v>
      </c>
      <c r="F33" s="31">
        <f t="shared" si="2"/>
        <v>1.5999999999999943</v>
      </c>
      <c r="G33" s="32">
        <f t="shared" si="3"/>
        <v>0.66000000000000014</v>
      </c>
      <c r="H33" s="31">
        <f t="shared" si="4"/>
        <v>0.84479999999999622</v>
      </c>
      <c r="J33" s="37" t="s">
        <v>74</v>
      </c>
      <c r="K33" s="38">
        <f>K31/K32</f>
        <v>25.08396128405224</v>
      </c>
      <c r="L33" s="35"/>
    </row>
    <row r="34" spans="2:13" ht="16.5" customHeight="1" x14ac:dyDescent="0.25">
      <c r="B34" s="119"/>
      <c r="C34" s="120">
        <v>23.669999999999998</v>
      </c>
      <c r="D34" s="121"/>
      <c r="E34" s="30">
        <v>98.89</v>
      </c>
      <c r="F34" s="31">
        <f t="shared" si="2"/>
        <v>2.4299999999999926</v>
      </c>
      <c r="G34" s="32">
        <f t="shared" si="3"/>
        <v>2.509999999999998</v>
      </c>
      <c r="H34" s="31">
        <f t="shared" si="4"/>
        <v>5.0576499999999793</v>
      </c>
      <c r="J34" s="37" t="s">
        <v>75</v>
      </c>
      <c r="K34" s="11">
        <f>MAX(F29:F51)</f>
        <v>2.4299999999999926</v>
      </c>
      <c r="L34" s="35"/>
    </row>
    <row r="35" spans="2:13" ht="16.5" customHeight="1" x14ac:dyDescent="0.25">
      <c r="B35" s="119"/>
      <c r="C35" s="120">
        <v>31.56</v>
      </c>
      <c r="D35" s="121"/>
      <c r="E35" s="30">
        <v>98.96</v>
      </c>
      <c r="F35" s="31">
        <f t="shared" si="2"/>
        <v>2.3599999999999994</v>
      </c>
      <c r="G35" s="32">
        <f t="shared" si="3"/>
        <v>7.8900000000000006</v>
      </c>
      <c r="H35" s="31">
        <f t="shared" si="4"/>
        <v>18.896549999999969</v>
      </c>
      <c r="J35" s="37" t="s">
        <v>76</v>
      </c>
      <c r="K35" s="39">
        <f>K34/K32</f>
        <v>1.8994710476860939</v>
      </c>
      <c r="L35" s="35"/>
    </row>
    <row r="36" spans="2:13" ht="16.5" customHeight="1" x14ac:dyDescent="0.25">
      <c r="B36" s="119"/>
      <c r="C36" s="120">
        <v>35.910000000000004</v>
      </c>
      <c r="D36" s="121"/>
      <c r="E36" s="30">
        <v>100.15</v>
      </c>
      <c r="F36" s="31">
        <f t="shared" si="2"/>
        <v>1.1699999999999875</v>
      </c>
      <c r="G36" s="32">
        <f t="shared" si="3"/>
        <v>4.350000000000005</v>
      </c>
      <c r="H36" s="31">
        <f t="shared" si="4"/>
        <v>7.6777499999999801</v>
      </c>
      <c r="J36" s="40" t="s">
        <v>25</v>
      </c>
      <c r="K36" s="41">
        <v>2.42</v>
      </c>
      <c r="L36" s="35"/>
    </row>
    <row r="37" spans="2:13" ht="16.5" customHeight="1" x14ac:dyDescent="0.25">
      <c r="B37" s="119"/>
      <c r="C37" s="120">
        <v>38.200000000000003</v>
      </c>
      <c r="D37" s="121"/>
      <c r="E37" s="30">
        <v>100.07</v>
      </c>
      <c r="F37" s="31">
        <f t="shared" si="2"/>
        <v>1.25</v>
      </c>
      <c r="G37" s="32">
        <f t="shared" si="3"/>
        <v>2.2899999999999991</v>
      </c>
      <c r="H37" s="31">
        <f t="shared" si="4"/>
        <v>2.7708999999999846</v>
      </c>
      <c r="J37" s="40" t="s">
        <v>77</v>
      </c>
      <c r="K37" s="42">
        <f>+K36/K34</f>
        <v>0.99588477366255446</v>
      </c>
      <c r="L37" s="35"/>
    </row>
    <row r="38" spans="2:13" ht="16.5" customHeight="1" x14ac:dyDescent="0.25">
      <c r="B38" s="119"/>
      <c r="C38" s="120">
        <v>39.520000000000003</v>
      </c>
      <c r="D38" s="121"/>
      <c r="E38" s="30">
        <v>100.83</v>
      </c>
      <c r="F38" s="31">
        <f t="shared" si="2"/>
        <v>0.48999999999999488</v>
      </c>
      <c r="G38" s="32">
        <f t="shared" si="3"/>
        <v>1.3200000000000003</v>
      </c>
      <c r="H38" s="31">
        <f t="shared" si="4"/>
        <v>1.148399999999997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44.49</v>
      </c>
      <c r="D39" s="121"/>
      <c r="E39" s="30">
        <v>100.97</v>
      </c>
      <c r="F39" s="31">
        <f t="shared" si="2"/>
        <v>0.34999999999999432</v>
      </c>
      <c r="G39" s="32">
        <f t="shared" si="3"/>
        <v>4.9699999999999989</v>
      </c>
      <c r="H39" s="31">
        <f t="shared" si="4"/>
        <v>2.0873999999999726</v>
      </c>
      <c r="J39" s="37" t="s">
        <v>79</v>
      </c>
      <c r="K39" s="11" t="s">
        <v>109</v>
      </c>
      <c r="L39" s="35"/>
    </row>
    <row r="40" spans="2:13" ht="16.5" customHeight="1" x14ac:dyDescent="0.25">
      <c r="B40" s="119" t="s">
        <v>3</v>
      </c>
      <c r="C40" s="120">
        <v>45.74</v>
      </c>
      <c r="D40" s="121"/>
      <c r="E40" s="30">
        <v>101.32</v>
      </c>
      <c r="F40" s="31">
        <f t="shared" si="2"/>
        <v>0</v>
      </c>
      <c r="G40" s="32">
        <f t="shared" si="3"/>
        <v>1.25</v>
      </c>
      <c r="H40" s="31">
        <f t="shared" si="4"/>
        <v>0.21874999999999645</v>
      </c>
      <c r="J40" s="37" t="s">
        <v>8</v>
      </c>
      <c r="K40" s="108">
        <f>+'Longitudinal Profile'!$H$9</f>
        <v>1.2834224598930481E-3</v>
      </c>
      <c r="L40" s="45"/>
    </row>
    <row r="41" spans="2:13" ht="16.5" customHeight="1" x14ac:dyDescent="0.25">
      <c r="B41" s="119"/>
      <c r="C41" s="120">
        <v>45.81</v>
      </c>
      <c r="D41" s="121"/>
      <c r="E41" s="30">
        <v>101.34</v>
      </c>
      <c r="F41" s="31"/>
      <c r="G41" s="32"/>
      <c r="H41" s="31"/>
      <c r="J41" s="37" t="s">
        <v>10</v>
      </c>
      <c r="K41" s="46">
        <v>5.5E-2</v>
      </c>
      <c r="L41" s="45"/>
    </row>
    <row r="42" spans="2:13" ht="16.5" customHeight="1" x14ac:dyDescent="0.25">
      <c r="B42" s="119"/>
      <c r="C42" s="120">
        <v>55.03</v>
      </c>
      <c r="D42" s="121"/>
      <c r="E42" s="30">
        <v>101.39</v>
      </c>
      <c r="F42" s="31"/>
      <c r="G42" s="32"/>
      <c r="H42" s="31"/>
      <c r="J42" s="37" t="s">
        <v>27</v>
      </c>
      <c r="K42" s="14">
        <f>K31+2*K32</f>
        <v>34.648607042692419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1.1848340670496917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44.615039648765105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1.0867708246507921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9.4888101540835199E-2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0.10312162036108156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7.7087636451715325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23.283513308272042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85.77981651376146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93.5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0.12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1.2834224598930481E-3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1.3989304812834225E-3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1.0900000000000001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