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0" i="81" l="1"/>
  <c r="G30" i="81"/>
  <c r="H30" i="81"/>
  <c r="F31" i="81"/>
  <c r="G31" i="81"/>
  <c r="H31" i="81" s="1"/>
  <c r="F32" i="81"/>
  <c r="G32" i="81"/>
  <c r="H32" i="81" s="1"/>
  <c r="F33" i="81"/>
  <c r="G33" i="81"/>
  <c r="H33" i="81"/>
  <c r="F34" i="81"/>
  <c r="G34" i="81"/>
  <c r="H34" i="81" s="1"/>
  <c r="F35" i="81"/>
  <c r="G35" i="81"/>
  <c r="H35" i="81" s="1"/>
  <c r="F36" i="81"/>
  <c r="G36" i="81"/>
  <c r="H36" i="81" s="1"/>
  <c r="F37" i="81"/>
  <c r="G37" i="81"/>
  <c r="H37" i="81"/>
  <c r="F38" i="81"/>
  <c r="G38" i="81"/>
  <c r="H38" i="81" s="1"/>
  <c r="K29" i="81" l="1"/>
  <c r="K31" i="81"/>
  <c r="K39" i="81" s="1"/>
  <c r="G15" i="81" s="1"/>
  <c r="C23" i="73" s="1"/>
  <c r="K40" i="81"/>
  <c r="G12" i="81"/>
  <c r="G14" i="81"/>
  <c r="C22" i="73" s="1"/>
  <c r="L30" i="70"/>
  <c r="L23" i="70"/>
  <c r="M30" i="70"/>
  <c r="N30" i="70"/>
  <c r="U8" i="70"/>
  <c r="D41" i="73"/>
  <c r="C20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E42" i="73" s="1"/>
  <c r="D23" i="73"/>
  <c r="E23" i="73"/>
  <c r="D34" i="73"/>
  <c r="E38" i="73"/>
  <c r="C34" i="73"/>
  <c r="C38" i="73"/>
  <c r="D42" i="73"/>
  <c r="D46" i="73"/>
  <c r="E44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D48" i="73"/>
  <c r="C42" i="73"/>
  <c r="E34" i="73"/>
  <c r="E46" i="73"/>
  <c r="E36" i="73"/>
  <c r="C46" i="73"/>
  <c r="C36" i="73"/>
  <c r="D36" i="73"/>
  <c r="C44" i="73"/>
  <c r="D38" i="73"/>
  <c r="G7" i="81"/>
  <c r="C15" i="73" s="1"/>
  <c r="K34" i="81" l="1"/>
  <c r="K30" i="81" l="1"/>
  <c r="K32" i="81" s="1"/>
  <c r="G10" i="81"/>
  <c r="C18" i="73" s="1"/>
  <c r="K37" i="81"/>
  <c r="G13" i="81" s="1"/>
  <c r="C21" i="73" s="1"/>
  <c r="G6" i="81" l="1"/>
  <c r="C14" i="73" s="1"/>
  <c r="K42" i="81"/>
  <c r="K43" i="81" s="1"/>
  <c r="K44" i="81" s="1"/>
  <c r="G8" i="81"/>
  <c r="C16" i="73" s="1"/>
  <c r="K33" i="81"/>
  <c r="G9" i="81" s="1"/>
  <c r="C17" i="73" s="1"/>
  <c r="K35" i="81"/>
  <c r="G11" i="81" s="1"/>
  <c r="C19" i="73" s="1"/>
  <c r="K46" i="81" l="1"/>
  <c r="K49" i="81" s="1"/>
  <c r="G23" i="81" s="1"/>
  <c r="C30" i="73" s="1"/>
  <c r="G18" i="81"/>
  <c r="C25" i="73" s="1"/>
  <c r="K45" i="81"/>
  <c r="G19" i="81" s="1"/>
  <c r="C26" i="73" s="1"/>
  <c r="G20" i="81" l="1"/>
  <c r="C27" i="73" s="1"/>
  <c r="K48" i="81"/>
  <c r="G22" i="81" s="1"/>
  <c r="C29" i="73" s="1"/>
  <c r="K47" i="81"/>
  <c r="G21" i="81" s="1"/>
  <c r="C28" i="73" s="1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<sst xmlns="http://schemas.openxmlformats.org/spreadsheetml/2006/main" count="170" uniqueCount="109">
  <si>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</si>
  <si>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</si>
  <si>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</si>
  <si>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</si>
  <si>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</si>
  <si>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</si>
  <si>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</si>
  <si>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</si>
  <si>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</si>
  <si>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</si>
  <si>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</si>
  <si>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</si>
  <si>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</si>
  <si>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</si>
  <si>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</si>
  <si>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</si>
  <si>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</si>
  <si>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</si>
  <si>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</si>
  <si>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</si>
  <si>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</si>
  <si>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</si>
  <si>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</si>
  <si>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</si>
  <si>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</si>
  <si>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</si>
  <si>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</si>
  <si>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</si>
  <si>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</si>
  <si>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</si>
  <si>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</si>
  <si>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</si>
  <si>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</si>
  <si>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</si>
  <si>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</si>
  <si>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</si>
  <si>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</si>
  <si>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</si>
  <si>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</si>
  <si>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</si>
  <si>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</si>
  <si>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</si>
  <si>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</si>
  <si>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</si>
  <si>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</si>
  <si>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</si>
  <si>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</si>
  <si>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</si>
  <si>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</si>
  <si>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</si>
  <si>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</si>
  <si>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</si>
  <si>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</si>
  <si>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</si>
  <si>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</si>
  <si>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</si>
  <si>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</si>
  <si>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</si>
  <si>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</si>
  <si>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</si>
  <si>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</si>
  <si>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</si>
  <si>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</si>
  <si>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</si>
  <si>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</si>
  <si>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</si>
  <si>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</si>
  <si>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</si>
  <si>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</si>
  <si>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</si>
  <si>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</si>
  <si>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</si>
  <si>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</si>
  <si>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</si>
  <si>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</si>
  <si>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</si>
  <si>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</si>
  <si>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</si>
  <si>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</si>
  <si>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</si>
  <si>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</si>
  <si>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</si>
  <si>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</si>
  <si>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</si>
  <si>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</si>
  <si>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</si>
  <si>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</si>
  <si>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</si>
  <si>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</si>
  <si>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</si>
  <si>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</si>
  <si>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</si>
  <si>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</si>
  <si>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</si>
  <si>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</si>
  <si>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</si>
  <si>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</si>
  <si>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</si>
  <si>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</si>
  <si>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</si>
  <si>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</si>
  <si>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</si>
  <si>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</si>
  <si>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</si>
  <si>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Poplar Branch, Carolina Sandhills NWR</t>
  </si>
  <si>
    <t>34.559874, -80.234442</t>
  </si>
  <si>
    <t>Poplar Branch</t>
  </si>
  <si>
    <t>sand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</si>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</sst>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4.54</c:v>
                </c:pt>
                <c:pt idx="2">
                  <c:v>4.8</c:v>
                </c:pt>
                <c:pt idx="3">
                  <c:v>5.46</c:v>
                </c:pt>
                <c:pt idx="4">
                  <c:v>6.43</c:v>
                </c:pt>
                <c:pt idx="5">
                  <c:v>6.77</c:v>
                </c:pt>
                <c:pt idx="6">
                  <c:v>7.39</c:v>
                </c:pt>
                <c:pt idx="7">
                  <c:v>8.6</c:v>
                </c:pt>
                <c:pt idx="8">
                  <c:v>9.6999999999999993</c:v>
                </c:pt>
                <c:pt idx="9">
                  <c:v>10.69</c:v>
                </c:pt>
                <c:pt idx="10">
                  <c:v>13.33</c:v>
                </c:pt>
                <c:pt idx="11">
                  <c:v>18.55</c:v>
                </c:pt>
                <c:pt idx="12">
                  <c:v>23.98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99.31</c:v>
                </c:pt>
                <c:pt idx="1">
                  <c:v>99.58</c:v>
                </c:pt>
                <c:pt idx="2">
                  <c:v>99.46</c:v>
                </c:pt>
                <c:pt idx="3">
                  <c:v>99.18</c:v>
                </c:pt>
                <c:pt idx="4">
                  <c:v>99.13</c:v>
                </c:pt>
                <c:pt idx="5">
                  <c:v>98.9</c:v>
                </c:pt>
                <c:pt idx="6">
                  <c:v>98.71</c:v>
                </c:pt>
                <c:pt idx="7">
                  <c:v>99.04</c:v>
                </c:pt>
                <c:pt idx="8">
                  <c:v>99.39</c:v>
                </c:pt>
                <c:pt idx="9">
                  <c:v>99.46</c:v>
                </c:pt>
                <c:pt idx="10">
                  <c:v>99.45</c:v>
                </c:pt>
                <c:pt idx="11">
                  <c:v>99.61</c:v>
                </c:pt>
                <c:pt idx="12">
                  <c:v>100.99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09552"/>
        <c:axId val="136309160"/>
      </c:scatterChart>
      <c:valAx>
        <c:axId val="13630955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309160"/>
        <c:crosses val="autoZero"/>
        <c:crossBetween val="midCat"/>
      </c:valAx>
      <c:valAx>
        <c:axId val="136309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309552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07592"/>
        <c:axId val="13630602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36307592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6306024"/>
        <c:crosses val="autoZero"/>
        <c:crossBetween val="midCat"/>
        <c:minorUnit val="25"/>
      </c:valAx>
      <c:valAx>
        <c:axId val="13630602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3630759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C8" sqref="C8:E8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43857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106</v>
      </c>
      <c r="D6" s="135"/>
      <c r="E6" s="136"/>
    </row>
    <row r="7" spans="2:5" ht="16.95" customHeight="1" x14ac:dyDescent="0.25">
      <c r="B7" s="15" t="s">
        <v>59</v>
      </c>
      <c r="C7" s="137" t="s">
        <v>108</v>
      </c>
      <c r="D7" s="138"/>
      <c r="E7" s="139"/>
    </row>
    <row r="8" spans="2:5" ht="16.95" customHeight="1" x14ac:dyDescent="0.25">
      <c r="B8" s="15" t="s">
        <v>21</v>
      </c>
      <c r="C8" s="140">
        <v>0.25</v>
      </c>
      <c r="D8" s="141"/>
      <c r="E8" s="142"/>
    </row>
    <row r="9" spans="2:5" ht="16.95" customHeight="1" x14ac:dyDescent="0.25">
      <c r="B9" s="15" t="s">
        <v>89</v>
      </c>
      <c r="C9" s="152" t="s">
        <v>107</v>
      </c>
      <c r="D9" s="153"/>
      <c r="E9" s="154"/>
    </row>
    <row r="10" spans="2:5" ht="16.95" customHeight="1" x14ac:dyDescent="0.25">
      <c r="B10" s="15" t="s">
        <v>52</v>
      </c>
      <c r="C10" s="146">
        <f>'Longitudinal Profile'!H9</f>
        <v>1.1304347826086957E-2</v>
      </c>
      <c r="D10" s="147"/>
      <c r="E10" s="148"/>
    </row>
    <row r="11" spans="2:5" ht="16.95" customHeight="1" x14ac:dyDescent="0.25">
      <c r="B11" s="15" t="s">
        <v>53</v>
      </c>
      <c r="C11" s="155">
        <f>'Longitudinal Profile'!H11</f>
        <v>1.1200000000000001</v>
      </c>
      <c r="D11" s="156"/>
      <c r="E11" s="157"/>
    </row>
    <row r="12" spans="2:5" ht="16.95" customHeight="1" thickBot="1" x14ac:dyDescent="0.3">
      <c r="B12" s="15" t="s">
        <v>23</v>
      </c>
      <c r="C12" s="149">
        <f>'Longitudinal Profile'!H7</f>
        <v>23</v>
      </c>
      <c r="D12" s="150"/>
      <c r="E12" s="151"/>
    </row>
    <row r="13" spans="2:5" ht="16.95" customHeight="1" thickTop="1" x14ac:dyDescent="0.25">
      <c r="B13" s="116" t="s">
        <v>17</v>
      </c>
      <c r="C13" s="143" t="s">
        <v>64</v>
      </c>
      <c r="D13" s="144"/>
      <c r="E13" s="145"/>
    </row>
    <row r="14" spans="2:5" ht="16.95" customHeight="1" x14ac:dyDescent="0.25">
      <c r="B14" s="114" t="s">
        <v>71</v>
      </c>
      <c r="C14" s="130">
        <f>'Cross-section'!G6</f>
        <v>1.9576499999999606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5.89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0.33236842105262493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17.721298495645641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0.75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2.2565320665083588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0.75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1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>
        <f>'Cross-section'!G14</f>
        <v>45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5" t="s">
        <v>79</v>
      </c>
      <c r="C23" s="130">
        <f>'Cross-section'!G15</f>
        <v>7.6400679117147714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6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2.3085417943546376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1.1792413323907154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0.21067349006081132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0.24843488711871328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17.115234837776626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51.694774475175393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I3" sqref="I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58" t="s">
        <v>71</v>
      </c>
      <c r="C6" s="159"/>
      <c r="D6" s="159"/>
      <c r="E6" s="159"/>
      <c r="F6" s="160"/>
      <c r="G6" s="164">
        <f>K30</f>
        <v>1.9576499999999606</v>
      </c>
      <c r="H6" s="165"/>
      <c r="I6" s="166"/>
      <c r="K6" s="5"/>
      <c r="L6" s="5"/>
    </row>
    <row r="7" spans="2:12" ht="16.5" customHeight="1" x14ac:dyDescent="0.25">
      <c r="B7" s="158" t="s">
        <v>72</v>
      </c>
      <c r="C7" s="159"/>
      <c r="D7" s="159"/>
      <c r="E7" s="159"/>
      <c r="F7" s="160"/>
      <c r="G7" s="164">
        <f t="shared" ref="G7:G15" si="0">K31</f>
        <v>5.89</v>
      </c>
      <c r="H7" s="165"/>
      <c r="I7" s="166"/>
      <c r="J7" s="12"/>
      <c r="K7" s="5"/>
      <c r="L7" s="5"/>
    </row>
    <row r="8" spans="2:12" ht="16.5" customHeight="1" x14ac:dyDescent="0.25">
      <c r="B8" s="158" t="s">
        <v>73</v>
      </c>
      <c r="C8" s="159"/>
      <c r="D8" s="159"/>
      <c r="E8" s="159"/>
      <c r="F8" s="160"/>
      <c r="G8" s="164">
        <f t="shared" si="0"/>
        <v>0.33236842105262493</v>
      </c>
      <c r="H8" s="165"/>
      <c r="I8" s="166"/>
      <c r="J8" s="12"/>
      <c r="K8" s="5"/>
      <c r="L8" s="5"/>
    </row>
    <row r="9" spans="2:12" ht="16.5" customHeight="1" x14ac:dyDescent="0.25">
      <c r="B9" s="158" t="s">
        <v>74</v>
      </c>
      <c r="C9" s="159"/>
      <c r="D9" s="159"/>
      <c r="E9" s="159"/>
      <c r="F9" s="160"/>
      <c r="G9" s="164">
        <f t="shared" si="0"/>
        <v>17.721298495645641</v>
      </c>
      <c r="H9" s="165"/>
      <c r="I9" s="166"/>
      <c r="J9" s="12"/>
      <c r="K9" s="5"/>
      <c r="L9" s="5"/>
    </row>
    <row r="10" spans="2:12" ht="16.5" customHeight="1" x14ac:dyDescent="0.25">
      <c r="B10" s="158" t="s">
        <v>75</v>
      </c>
      <c r="C10" s="159"/>
      <c r="D10" s="159"/>
      <c r="E10" s="159"/>
      <c r="F10" s="160"/>
      <c r="G10" s="164">
        <f t="shared" si="0"/>
        <v>0.75</v>
      </c>
      <c r="H10" s="165"/>
      <c r="I10" s="166"/>
      <c r="J10" s="12"/>
      <c r="K10" s="5"/>
      <c r="L10" s="5"/>
    </row>
    <row r="11" spans="2:12" ht="16.5" customHeight="1" x14ac:dyDescent="0.25">
      <c r="B11" s="158" t="s">
        <v>76</v>
      </c>
      <c r="C11" s="159"/>
      <c r="D11" s="159"/>
      <c r="E11" s="159"/>
      <c r="F11" s="160"/>
      <c r="G11" s="164">
        <f t="shared" si="0"/>
        <v>2.2565320665083588</v>
      </c>
      <c r="H11" s="165"/>
      <c r="I11" s="166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4">
        <f t="shared" si="0"/>
        <v>0.75</v>
      </c>
      <c r="H12" s="165"/>
      <c r="I12" s="166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4">
        <f t="shared" si="0"/>
        <v>1</v>
      </c>
      <c r="H13" s="165"/>
      <c r="I13" s="166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4">
        <f t="shared" si="0"/>
        <v>45</v>
      </c>
      <c r="H14" s="165"/>
      <c r="I14" s="166"/>
      <c r="J14" s="12"/>
      <c r="K14" s="5"/>
      <c r="L14" s="5"/>
    </row>
    <row r="15" spans="2:12" ht="16.5" customHeight="1" x14ac:dyDescent="0.25">
      <c r="B15" s="158" t="s">
        <v>79</v>
      </c>
      <c r="C15" s="159"/>
      <c r="D15" s="159"/>
      <c r="E15" s="159"/>
      <c r="F15" s="160"/>
      <c r="G15" s="164">
        <f t="shared" si="0"/>
        <v>7.6400679117147714</v>
      </c>
      <c r="H15" s="165"/>
      <c r="I15" s="166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58" t="s">
        <v>80</v>
      </c>
      <c r="C18" s="159"/>
      <c r="D18" s="159"/>
      <c r="E18" s="159"/>
      <c r="F18" s="160"/>
      <c r="G18" s="173">
        <f>K44</f>
        <v>2.3085417943546376</v>
      </c>
      <c r="H18" s="174"/>
      <c r="I18" s="175"/>
      <c r="K18" s="5"/>
      <c r="L18" s="5"/>
    </row>
    <row r="19" spans="2:12" ht="16.5" customHeight="1" x14ac:dyDescent="0.25">
      <c r="B19" s="158" t="s">
        <v>81</v>
      </c>
      <c r="C19" s="159"/>
      <c r="D19" s="159"/>
      <c r="E19" s="159"/>
      <c r="F19" s="160"/>
      <c r="G19" s="130">
        <f t="shared" ref="G19:G23" si="1">K45</f>
        <v>1.1792413323907154</v>
      </c>
      <c r="H19" s="131"/>
      <c r="I19" s="132"/>
      <c r="K19" s="5"/>
      <c r="L19" s="5"/>
    </row>
    <row r="20" spans="2:12" ht="16.5" customHeight="1" x14ac:dyDescent="0.25">
      <c r="B20" s="158" t="s">
        <v>82</v>
      </c>
      <c r="C20" s="159"/>
      <c r="D20" s="159"/>
      <c r="E20" s="159"/>
      <c r="F20" s="160"/>
      <c r="G20" s="130">
        <f t="shared" si="1"/>
        <v>0.21067349006081132</v>
      </c>
      <c r="H20" s="131"/>
      <c r="I20" s="132"/>
      <c r="J20" s="2"/>
      <c r="K20" s="5"/>
      <c r="L20" s="5"/>
    </row>
    <row r="21" spans="2:12" ht="16.5" customHeight="1" x14ac:dyDescent="0.25">
      <c r="B21" s="158" t="s">
        <v>49</v>
      </c>
      <c r="C21" s="159"/>
      <c r="D21" s="159"/>
      <c r="E21" s="159"/>
      <c r="F21" s="160"/>
      <c r="G21" s="130">
        <f t="shared" si="1"/>
        <v>0.24843488711871328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3">
        <f t="shared" si="1"/>
        <v>17.115234837776626</v>
      </c>
      <c r="H22" s="174"/>
      <c r="I22" s="175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3">
        <f t="shared" si="1"/>
        <v>51.694774475175393</v>
      </c>
      <c r="H23" s="174"/>
      <c r="I23" s="175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99.31</v>
      </c>
      <c r="F29" s="31"/>
      <c r="G29" s="32"/>
      <c r="H29" s="31"/>
      <c r="J29" s="33" t="s">
        <v>15</v>
      </c>
      <c r="K29" s="34">
        <f>LOOKUP("LBKF",B29:E51)</f>
        <v>99.46</v>
      </c>
      <c r="L29" s="35"/>
    </row>
    <row r="30" spans="2:12" ht="16.5" customHeight="1" x14ac:dyDescent="0.25">
      <c r="B30" s="119"/>
      <c r="C30" s="120">
        <v>4.54</v>
      </c>
      <c r="D30" s="121"/>
      <c r="E30" s="30">
        <v>99.58</v>
      </c>
      <c r="F30" s="31">
        <f t="shared" ref="F30:F38" si="2">IF(E30&gt;0,IF(E30&lt;K$29,K$29-E30,0),0)</f>
        <v>0</v>
      </c>
      <c r="G30" s="32">
        <f t="shared" ref="G30:G38" si="3">IF(E30&gt;0,IF(E30&lt;=K$29,C30-C29,0),0)</f>
        <v>0</v>
      </c>
      <c r="H30" s="31">
        <f t="shared" ref="H30:H38" si="4">IF(E30&lt;=K$29,G30*(F29+F30)/2,0)</f>
        <v>0</v>
      </c>
      <c r="J30" s="37" t="s">
        <v>71</v>
      </c>
      <c r="K30" s="11">
        <f>SUM(H29:H51)</f>
        <v>1.9576499999999606</v>
      </c>
      <c r="L30" s="35"/>
    </row>
    <row r="31" spans="2:12" ht="16.5" customHeight="1" x14ac:dyDescent="0.25">
      <c r="B31" s="119" t="s">
        <v>2</v>
      </c>
      <c r="C31" s="120">
        <v>4.8</v>
      </c>
      <c r="D31" s="121"/>
      <c r="E31" s="30">
        <v>99.46</v>
      </c>
      <c r="F31" s="31">
        <f t="shared" si="2"/>
        <v>0</v>
      </c>
      <c r="G31" s="32">
        <f t="shared" si="3"/>
        <v>0.25999999999999979</v>
      </c>
      <c r="H31" s="31">
        <f t="shared" si="4"/>
        <v>0</v>
      </c>
      <c r="J31" s="37" t="s">
        <v>72</v>
      </c>
      <c r="K31" s="11">
        <f>LOOKUP("RBKF",B29:C51)-LOOKUP("LBKF",B29:C51)</f>
        <v>5.89</v>
      </c>
      <c r="L31" s="35"/>
    </row>
    <row r="32" spans="2:12" ht="16.5" customHeight="1" x14ac:dyDescent="0.25">
      <c r="B32" s="119"/>
      <c r="C32" s="120">
        <v>5.46</v>
      </c>
      <c r="D32" s="121"/>
      <c r="E32" s="30">
        <v>99.18</v>
      </c>
      <c r="F32" s="31">
        <f t="shared" si="2"/>
        <v>0.27999999999998693</v>
      </c>
      <c r="G32" s="32">
        <f t="shared" si="3"/>
        <v>0.66000000000000014</v>
      </c>
      <c r="H32" s="31">
        <f t="shared" si="4"/>
        <v>9.2399999999995708E-2</v>
      </c>
      <c r="J32" s="37" t="s">
        <v>73</v>
      </c>
      <c r="K32" s="11">
        <f>K30/K31</f>
        <v>0.33236842105262493</v>
      </c>
      <c r="L32" s="35"/>
    </row>
    <row r="33" spans="2:13" ht="16.5" customHeight="1" x14ac:dyDescent="0.25">
      <c r="B33" s="119"/>
      <c r="C33" s="120">
        <v>6.43</v>
      </c>
      <c r="D33" s="121"/>
      <c r="E33" s="30">
        <v>99.13</v>
      </c>
      <c r="F33" s="31">
        <f t="shared" si="2"/>
        <v>0.32999999999999829</v>
      </c>
      <c r="G33" s="32">
        <f t="shared" si="3"/>
        <v>0.96999999999999975</v>
      </c>
      <c r="H33" s="31">
        <f t="shared" si="4"/>
        <v>0.29584999999999273</v>
      </c>
      <c r="J33" s="37" t="s">
        <v>74</v>
      </c>
      <c r="K33" s="38">
        <f>K31/K32</f>
        <v>17.721298495645641</v>
      </c>
      <c r="L33" s="35"/>
    </row>
    <row r="34" spans="2:13" ht="16.5" customHeight="1" x14ac:dyDescent="0.25">
      <c r="B34" s="119"/>
      <c r="C34" s="120">
        <v>6.77</v>
      </c>
      <c r="D34" s="121"/>
      <c r="E34" s="30">
        <v>98.9</v>
      </c>
      <c r="F34" s="31">
        <f t="shared" si="2"/>
        <v>0.55999999999998806</v>
      </c>
      <c r="G34" s="32">
        <f t="shared" si="3"/>
        <v>0.33999999999999986</v>
      </c>
      <c r="H34" s="31">
        <f t="shared" si="4"/>
        <v>0.15129999999999763</v>
      </c>
      <c r="J34" s="37" t="s">
        <v>75</v>
      </c>
      <c r="K34" s="11">
        <f>MAX(F29:F51)</f>
        <v>0.75</v>
      </c>
      <c r="L34" s="35"/>
    </row>
    <row r="35" spans="2:13" ht="16.5" customHeight="1" x14ac:dyDescent="0.25">
      <c r="B35" s="119"/>
      <c r="C35" s="120">
        <v>7.39</v>
      </c>
      <c r="D35" s="121"/>
      <c r="E35" s="30">
        <v>98.71</v>
      </c>
      <c r="F35" s="31">
        <f t="shared" si="2"/>
        <v>0.75</v>
      </c>
      <c r="G35" s="32">
        <f t="shared" si="3"/>
        <v>0.62000000000000011</v>
      </c>
      <c r="H35" s="31">
        <f t="shared" si="4"/>
        <v>0.40609999999999635</v>
      </c>
      <c r="J35" s="37" t="s">
        <v>76</v>
      </c>
      <c r="K35" s="39">
        <f>K34/K32</f>
        <v>2.2565320665083588</v>
      </c>
      <c r="L35" s="35"/>
    </row>
    <row r="36" spans="2:13" ht="16.5" customHeight="1" x14ac:dyDescent="0.25">
      <c r="B36" s="119"/>
      <c r="C36" s="120">
        <v>8.6</v>
      </c>
      <c r="D36" s="121"/>
      <c r="E36" s="30">
        <v>99.04</v>
      </c>
      <c r="F36" s="31">
        <f t="shared" si="2"/>
        <v>0.41999999999998749</v>
      </c>
      <c r="G36" s="32">
        <f t="shared" si="3"/>
        <v>1.21</v>
      </c>
      <c r="H36" s="31">
        <f t="shared" si="4"/>
        <v>0.70784999999999243</v>
      </c>
      <c r="J36" s="40" t="s">
        <v>25</v>
      </c>
      <c r="K36" s="41">
        <v>0.75</v>
      </c>
      <c r="L36" s="35"/>
    </row>
    <row r="37" spans="2:13" ht="16.5" customHeight="1" x14ac:dyDescent="0.25">
      <c r="B37" s="119"/>
      <c r="C37" s="120">
        <v>9.6999999999999993</v>
      </c>
      <c r="D37" s="121"/>
      <c r="E37" s="30">
        <v>99.39</v>
      </c>
      <c r="F37" s="31">
        <f t="shared" si="2"/>
        <v>6.9999999999993179E-2</v>
      </c>
      <c r="G37" s="32">
        <f t="shared" si="3"/>
        <v>1.0999999999999996</v>
      </c>
      <c r="H37" s="31">
        <f t="shared" si="4"/>
        <v>0.2694999999999893</v>
      </c>
      <c r="J37" s="40" t="s">
        <v>77</v>
      </c>
      <c r="K37" s="42">
        <f>+K36/K34</f>
        <v>1</v>
      </c>
      <c r="L37" s="35"/>
    </row>
    <row r="38" spans="2:13" ht="16.5" customHeight="1" x14ac:dyDescent="0.25">
      <c r="B38" s="119" t="s">
        <v>3</v>
      </c>
      <c r="C38" s="120">
        <v>10.69</v>
      </c>
      <c r="D38" s="121"/>
      <c r="E38" s="30">
        <v>99.46</v>
      </c>
      <c r="F38" s="31">
        <f t="shared" si="2"/>
        <v>0</v>
      </c>
      <c r="G38" s="32">
        <f t="shared" si="3"/>
        <v>0.99000000000000021</v>
      </c>
      <c r="H38" s="31">
        <f t="shared" si="4"/>
        <v>3.4649999999996628E-2</v>
      </c>
      <c r="J38" s="43" t="s">
        <v>78</v>
      </c>
      <c r="K38" s="44">
        <v>45</v>
      </c>
      <c r="L38" s="35"/>
    </row>
    <row r="39" spans="2:13" ht="16.5" customHeight="1" x14ac:dyDescent="0.25">
      <c r="B39" s="119"/>
      <c r="C39" s="120">
        <v>13.33</v>
      </c>
      <c r="D39" s="121"/>
      <c r="E39" s="30">
        <v>99.45</v>
      </c>
      <c r="F39" s="31"/>
      <c r="G39" s="32"/>
      <c r="H39" s="31"/>
      <c r="J39" s="37" t="s">
        <v>79</v>
      </c>
      <c r="K39" s="11">
        <f>K38/K31</f>
        <v>7.6400679117147714</v>
      </c>
      <c r="L39" s="35"/>
    </row>
    <row r="40" spans="2:13" ht="16.5" customHeight="1" x14ac:dyDescent="0.25">
      <c r="B40" s="119"/>
      <c r="C40" s="120">
        <v>18.55</v>
      </c>
      <c r="D40" s="121"/>
      <c r="E40" s="30">
        <v>99.61</v>
      </c>
      <c r="F40" s="31"/>
      <c r="G40" s="32"/>
      <c r="H40" s="31"/>
      <c r="J40" s="37" t="s">
        <v>8</v>
      </c>
      <c r="K40" s="108">
        <f>+'Longitudinal Profile'!$H$9</f>
        <v>1.1304347826086957E-2</v>
      </c>
      <c r="L40" s="45"/>
    </row>
    <row r="41" spans="2:13" ht="16.5" customHeight="1" x14ac:dyDescent="0.25">
      <c r="B41" s="119"/>
      <c r="C41" s="120">
        <v>23.98</v>
      </c>
      <c r="D41" s="121"/>
      <c r="E41" s="30">
        <v>100.99</v>
      </c>
      <c r="F41" s="31"/>
      <c r="G41" s="32"/>
      <c r="H41" s="31"/>
      <c r="J41" s="37" t="s">
        <v>10</v>
      </c>
      <c r="K41" s="46">
        <v>0.06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6.5547368421052497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0.29866187570258013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2.3085417943546376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1.1792413323907154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0.21067349006081132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0.24843488711871328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17.115234837776626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51.694774475175393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F2" sqref="F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20.535714285714285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23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0.26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1.1304347826086957E-2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1.2660869565217394E-2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1.1200000000000001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