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K40" i="81"/>
  <c r="G12" i="81"/>
  <c r="C20" i="73" s="1"/>
  <c r="G14" i="81"/>
  <c r="G15" i="81"/>
  <c r="C23" i="73" s="1"/>
  <c r="L30" i="70"/>
  <c r="L23" i="70"/>
  <c r="M30" i="70"/>
  <c r="N30" i="70"/>
  <c r="U8" i="70"/>
  <c r="D41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48" i="73"/>
  <c r="C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F38" i="81" l="1"/>
  <c r="F30" i="81"/>
  <c r="F32" i="81"/>
  <c r="G33" i="81"/>
  <c r="G35" i="81"/>
  <c r="F37" i="81"/>
  <c r="F31" i="81"/>
  <c r="G34" i="81"/>
  <c r="H34" i="81" s="1"/>
  <c r="G36" i="81"/>
  <c r="F33" i="81"/>
  <c r="G30" i="81"/>
  <c r="H30" i="81" s="1"/>
  <c r="G32" i="81"/>
  <c r="F34" i="81"/>
  <c r="F36" i="81"/>
  <c r="G37" i="81"/>
  <c r="G31" i="81"/>
  <c r="F35" i="81"/>
  <c r="H36" i="81" s="1"/>
  <c r="G38" i="81"/>
  <c r="H38" i="81"/>
  <c r="G7" i="81"/>
  <c r="C15" i="73" s="1"/>
  <c r="H32" i="81" l="1"/>
  <c r="H31" i="81"/>
  <c r="H33" i="81"/>
  <c r="H37" i="81"/>
  <c r="H35" i="81"/>
  <c r="K34" i="81"/>
  <c r="G10" i="81" s="1"/>
  <c r="C18" i="73" s="1"/>
  <c r="K30" i="81" l="1"/>
  <c r="K32" i="81" s="1"/>
  <c r="G8" i="81" s="1"/>
  <c r="C16" i="73" s="1"/>
  <c r="K37" i="81"/>
  <c r="G13" i="81" s="1"/>
  <c r="C21" i="73" s="1"/>
  <c r="K35" i="81" l="1"/>
  <c r="G11" i="81" s="1"/>
  <c r="C19" i="73" s="1"/>
  <c r="K33" i="81"/>
  <c r="G9" i="81" s="1"/>
  <c r="C17" i="73" s="1"/>
  <c r="G6" i="81"/>
  <c r="C14" i="73" s="1"/>
  <c r="K42" i="81"/>
  <c r="K43" i="81" s="1"/>
  <c r="K44" i="81" s="1"/>
  <c r="K46" i="81" l="1"/>
  <c r="K48" i="81" s="1"/>
  <c r="G22" i="81" s="1"/>
  <c r="C29" i="73" s="1"/>
  <c r="G18" i="81"/>
  <c r="C25" i="73" s="1"/>
  <c r="K45" i="81"/>
  <c r="G19" i="81" s="1"/>
  <c r="C26" i="73" s="1"/>
  <c r="G20" i="81"/>
  <c r="C27" i="73" s="1"/>
  <c r="K49" i="81"/>
  <c r="G23" i="81" s="1"/>
  <c r="C30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<sst xmlns="http://schemas.openxmlformats.org/spreadsheetml/2006/main" count="172" uniqueCount="111">
  <si>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</si>
  <si>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</si>
  <si>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</si>
  <si>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</si>
  <si>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</si>
  <si>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</si>
  <si>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</si>
  <si>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</si>
  <si>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</si>
  <si>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</si>
  <si>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</si>
  <si>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</si>
  <si>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</si>
  <si>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</si>
  <si>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</si>
  <si>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</si>
  <si>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</si>
  <si>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</si>
  <si>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</si>
  <si>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</si>
  <si>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</si>
  <si>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</si>
  <si>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</si>
  <si>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</si>
  <si>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</si>
  <si>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</si>
  <si>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</si>
  <si>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</si>
  <si>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</si>
  <si>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</si>
  <si>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</si>
  <si>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</si>
  <si>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</si>
  <si>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</si>
  <si>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</si>
  <si>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</si>
  <si>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</si>
  <si>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</si>
  <si>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</si>
  <si>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</si>
  <si>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</si>
  <si>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</si>
  <si>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</si>
  <si>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</si>
  <si>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</si>
  <si>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</si>
  <si>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</si>
  <si>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</si>
  <si>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</si>
  <si>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</si>
  <si>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</si>
  <si>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</si>
  <si>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</si>
  <si>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</si>
  <si>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</si>
  <si>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</si>
  <si>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</si>
  <si>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</si>
  <si>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</si>
  <si>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</si>
  <si>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</si>
  <si>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</si>
  <si>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</si>
  <si>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</si>
  <si>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</si>
  <si>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</si>
  <si>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</si>
  <si>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</si>
  <si>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</si>
  <si>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</si>
  <si>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</si>
  <si>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</si>
  <si>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</si>
  <si>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</si>
  <si>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</si>
  <si>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</si>
  <si>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</si>
  <si>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</si>
  <si>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</si>
  <si>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</si>
  <si>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</si>
  <si>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</si>
  <si>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</si>
  <si>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</si>
  <si>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</si>
  <si>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</si>
  <si>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</si>
  <si>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</si>
  <si>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</si>
  <si>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</si>
  <si>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</si>
  <si>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</si>
  <si>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</si>
  <si>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</si>
  <si>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</si>
  <si>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</si>
  <si>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</si>
  <si>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</si>
  <si>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</si>
  <si>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</si>
  <si>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</si>
  <si>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</si>
  <si>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</si>
  <si>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</si>
  <si>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Cow Branch, Carolina Sandhills NWR</t>
  </si>
  <si>
    <t>34.544613, -80.233883</t>
  </si>
  <si>
    <t>Cow Branch</t>
  </si>
  <si>
    <t>sand</t>
  </si>
  <si>
    <t>&gt;78</t>
  </si>
  <si>
    <t>&gt;10.0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</si>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</sst>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1.8000000000000007</c:v>
                </c:pt>
                <c:pt idx="2">
                  <c:v>2.0499999999999998</c:v>
                </c:pt>
                <c:pt idx="3">
                  <c:v>3.4700000000000006</c:v>
                </c:pt>
                <c:pt idx="4">
                  <c:v>4.3600000000000012</c:v>
                </c:pt>
                <c:pt idx="5">
                  <c:v>7.1</c:v>
                </c:pt>
                <c:pt idx="6">
                  <c:v>8.7900000000000009</c:v>
                </c:pt>
                <c:pt idx="7">
                  <c:v>9.1600000000000019</c:v>
                </c:pt>
                <c:pt idx="8">
                  <c:v>9.8899999999999988</c:v>
                </c:pt>
                <c:pt idx="9">
                  <c:v>15.44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99.9</c:v>
                </c:pt>
                <c:pt idx="1">
                  <c:v>99.72</c:v>
                </c:pt>
                <c:pt idx="2">
                  <c:v>99.64</c:v>
                </c:pt>
                <c:pt idx="3">
                  <c:v>99.16</c:v>
                </c:pt>
                <c:pt idx="4">
                  <c:v>98.99</c:v>
                </c:pt>
                <c:pt idx="5">
                  <c:v>98.64</c:v>
                </c:pt>
                <c:pt idx="6">
                  <c:v>98.99</c:v>
                </c:pt>
                <c:pt idx="7">
                  <c:v>99.49</c:v>
                </c:pt>
                <c:pt idx="8">
                  <c:v>99.64</c:v>
                </c:pt>
                <c:pt idx="9">
                  <c:v>99.75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39040"/>
        <c:axId val="135735512"/>
      </c:scatterChart>
      <c:valAx>
        <c:axId val="13573904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735512"/>
        <c:crosses val="autoZero"/>
        <c:crossBetween val="midCat"/>
      </c:valAx>
      <c:valAx>
        <c:axId val="135735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73904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36296"/>
        <c:axId val="13573668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35736296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5736688"/>
        <c:crosses val="autoZero"/>
        <c:crossBetween val="midCat"/>
        <c:minorUnit val="25"/>
      </c:valAx>
      <c:valAx>
        <c:axId val="13573668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35736296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7" sqref="B7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43858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106</v>
      </c>
      <c r="D6" s="135"/>
      <c r="E6" s="136"/>
    </row>
    <row r="7" spans="2:5" ht="16.95" customHeight="1" x14ac:dyDescent="0.25">
      <c r="B7" s="15" t="s">
        <v>59</v>
      </c>
      <c r="C7" s="137" t="s">
        <v>110</v>
      </c>
      <c r="D7" s="138"/>
      <c r="E7" s="139"/>
    </row>
    <row r="8" spans="2:5" ht="16.95" customHeight="1" x14ac:dyDescent="0.25">
      <c r="B8" s="15" t="s">
        <v>21</v>
      </c>
      <c r="C8" s="140">
        <v>1.86</v>
      </c>
      <c r="D8" s="141"/>
      <c r="E8" s="142"/>
    </row>
    <row r="9" spans="2:5" ht="16.95" customHeight="1" x14ac:dyDescent="0.25">
      <c r="B9" s="15" t="s">
        <v>89</v>
      </c>
      <c r="C9" s="152" t="s">
        <v>107</v>
      </c>
      <c r="D9" s="153"/>
      <c r="E9" s="154"/>
    </row>
    <row r="10" spans="2:5" ht="16.95" customHeight="1" x14ac:dyDescent="0.25">
      <c r="B10" s="15" t="s">
        <v>52</v>
      </c>
      <c r="C10" s="146">
        <f>'Longitudinal Profile'!H9</f>
        <v>9.9601593625498006E-3</v>
      </c>
      <c r="D10" s="147"/>
      <c r="E10" s="148"/>
    </row>
    <row r="11" spans="2:5" ht="16.95" customHeight="1" x14ac:dyDescent="0.25">
      <c r="B11" s="15" t="s">
        <v>53</v>
      </c>
      <c r="C11" s="155">
        <f>'Longitudinal Profile'!H11</f>
        <v>1.06</v>
      </c>
      <c r="D11" s="156"/>
      <c r="E11" s="157"/>
    </row>
    <row r="12" spans="2:5" ht="16.95" customHeight="1" thickBot="1" x14ac:dyDescent="0.3">
      <c r="B12" s="15" t="s">
        <v>23</v>
      </c>
      <c r="C12" s="149">
        <f>'Longitudinal Profile'!H7</f>
        <v>25.1</v>
      </c>
      <c r="D12" s="150"/>
      <c r="E12" s="151"/>
    </row>
    <row r="13" spans="2:5" ht="16.95" customHeight="1" thickTop="1" x14ac:dyDescent="0.25">
      <c r="B13" s="116" t="s">
        <v>17</v>
      </c>
      <c r="C13" s="143" t="s">
        <v>64</v>
      </c>
      <c r="D13" s="144"/>
      <c r="E13" s="145"/>
    </row>
    <row r="14" spans="2:5" ht="16.95" customHeight="1" x14ac:dyDescent="0.25">
      <c r="B14" s="114" t="s">
        <v>71</v>
      </c>
      <c r="C14" s="130">
        <f>'Cross-section'!G6</f>
        <v>4.7011500000000241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7.839999999999999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0.59963647959183985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13.074588132690868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1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1.6676770577411824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1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1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 t="str">
        <f>'Cross-section'!G14</f>
        <v>&gt;78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5" t="s">
        <v>79</v>
      </c>
      <c r="C23" s="130" t="str">
        <f>'Cross-section'!G15</f>
        <v>&gt;10.0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6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7.533405855664129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1.6024602183857333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0.32323731035425468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0.51797493094069602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26.259983984921174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79.315531611984923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1" sqref="H1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58" t="s">
        <v>71</v>
      </c>
      <c r="C6" s="159"/>
      <c r="D6" s="159"/>
      <c r="E6" s="159"/>
      <c r="F6" s="160"/>
      <c r="G6" s="164">
        <f>K30</f>
        <v>4.7011500000000241</v>
      </c>
      <c r="H6" s="165"/>
      <c r="I6" s="166"/>
      <c r="K6" s="5"/>
      <c r="L6" s="5"/>
    </row>
    <row r="7" spans="2:12" ht="16.5" customHeight="1" x14ac:dyDescent="0.25">
      <c r="B7" s="158" t="s">
        <v>72</v>
      </c>
      <c r="C7" s="159"/>
      <c r="D7" s="159"/>
      <c r="E7" s="159"/>
      <c r="F7" s="160"/>
      <c r="G7" s="164">
        <f t="shared" ref="G7:G15" si="0">K31</f>
        <v>7.839999999999999</v>
      </c>
      <c r="H7" s="165"/>
      <c r="I7" s="166"/>
      <c r="J7" s="12"/>
      <c r="K7" s="5"/>
      <c r="L7" s="5"/>
    </row>
    <row r="8" spans="2:12" ht="16.5" customHeight="1" x14ac:dyDescent="0.25">
      <c r="B8" s="158" t="s">
        <v>73</v>
      </c>
      <c r="C8" s="159"/>
      <c r="D8" s="159"/>
      <c r="E8" s="159"/>
      <c r="F8" s="160"/>
      <c r="G8" s="164">
        <f t="shared" si="0"/>
        <v>0.59963647959183985</v>
      </c>
      <c r="H8" s="165"/>
      <c r="I8" s="166"/>
      <c r="J8" s="12"/>
      <c r="K8" s="5"/>
      <c r="L8" s="5"/>
    </row>
    <row r="9" spans="2:12" ht="16.5" customHeight="1" x14ac:dyDescent="0.25">
      <c r="B9" s="158" t="s">
        <v>74</v>
      </c>
      <c r="C9" s="159"/>
      <c r="D9" s="159"/>
      <c r="E9" s="159"/>
      <c r="F9" s="160"/>
      <c r="G9" s="164">
        <f t="shared" si="0"/>
        <v>13.074588132690868</v>
      </c>
      <c r="H9" s="165"/>
      <c r="I9" s="166"/>
      <c r="J9" s="12"/>
      <c r="K9" s="5"/>
      <c r="L9" s="5"/>
    </row>
    <row r="10" spans="2:12" ht="16.5" customHeight="1" x14ac:dyDescent="0.25">
      <c r="B10" s="158" t="s">
        <v>75</v>
      </c>
      <c r="C10" s="159"/>
      <c r="D10" s="159"/>
      <c r="E10" s="159"/>
      <c r="F10" s="160"/>
      <c r="G10" s="164">
        <f t="shared" si="0"/>
        <v>1</v>
      </c>
      <c r="H10" s="165"/>
      <c r="I10" s="166"/>
      <c r="J10" s="12"/>
      <c r="K10" s="5"/>
      <c r="L10" s="5"/>
    </row>
    <row r="11" spans="2:12" ht="16.5" customHeight="1" x14ac:dyDescent="0.25">
      <c r="B11" s="158" t="s">
        <v>76</v>
      </c>
      <c r="C11" s="159"/>
      <c r="D11" s="159"/>
      <c r="E11" s="159"/>
      <c r="F11" s="160"/>
      <c r="G11" s="164">
        <f t="shared" si="0"/>
        <v>1.6676770577411824</v>
      </c>
      <c r="H11" s="165"/>
      <c r="I11" s="166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4">
        <f t="shared" si="0"/>
        <v>1</v>
      </c>
      <c r="H12" s="165"/>
      <c r="I12" s="166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4">
        <f t="shared" si="0"/>
        <v>1</v>
      </c>
      <c r="H13" s="165"/>
      <c r="I13" s="166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4" t="str">
        <f t="shared" si="0"/>
        <v>&gt;78</v>
      </c>
      <c r="H14" s="165"/>
      <c r="I14" s="166"/>
      <c r="J14" s="12"/>
      <c r="K14" s="5"/>
      <c r="L14" s="5"/>
    </row>
    <row r="15" spans="2:12" ht="16.5" customHeight="1" x14ac:dyDescent="0.25">
      <c r="B15" s="158" t="s">
        <v>79</v>
      </c>
      <c r="C15" s="159"/>
      <c r="D15" s="159"/>
      <c r="E15" s="159"/>
      <c r="F15" s="160"/>
      <c r="G15" s="164" t="str">
        <f t="shared" si="0"/>
        <v>&gt;10.0</v>
      </c>
      <c r="H15" s="165"/>
      <c r="I15" s="166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58" t="s">
        <v>80</v>
      </c>
      <c r="C18" s="159"/>
      <c r="D18" s="159"/>
      <c r="E18" s="159"/>
      <c r="F18" s="160"/>
      <c r="G18" s="173">
        <f>K44</f>
        <v>7.533405855664129</v>
      </c>
      <c r="H18" s="174"/>
      <c r="I18" s="175"/>
      <c r="K18" s="5"/>
      <c r="L18" s="5"/>
    </row>
    <row r="19" spans="2:12" ht="16.5" customHeight="1" x14ac:dyDescent="0.25">
      <c r="B19" s="158" t="s">
        <v>81</v>
      </c>
      <c r="C19" s="159"/>
      <c r="D19" s="159"/>
      <c r="E19" s="159"/>
      <c r="F19" s="160"/>
      <c r="G19" s="130">
        <f t="shared" ref="G19:G23" si="1">K45</f>
        <v>1.6024602183857333</v>
      </c>
      <c r="H19" s="131"/>
      <c r="I19" s="132"/>
      <c r="K19" s="5"/>
      <c r="L19" s="5"/>
    </row>
    <row r="20" spans="2:12" ht="16.5" customHeight="1" x14ac:dyDescent="0.25">
      <c r="B20" s="158" t="s">
        <v>82</v>
      </c>
      <c r="C20" s="159"/>
      <c r="D20" s="159"/>
      <c r="E20" s="159"/>
      <c r="F20" s="160"/>
      <c r="G20" s="130">
        <f t="shared" si="1"/>
        <v>0.32323731035425468</v>
      </c>
      <c r="H20" s="131"/>
      <c r="I20" s="132"/>
      <c r="J20" s="2"/>
      <c r="K20" s="5"/>
      <c r="L20" s="5"/>
    </row>
    <row r="21" spans="2:12" ht="16.5" customHeight="1" x14ac:dyDescent="0.25">
      <c r="B21" s="158" t="s">
        <v>49</v>
      </c>
      <c r="C21" s="159"/>
      <c r="D21" s="159"/>
      <c r="E21" s="159"/>
      <c r="F21" s="160"/>
      <c r="G21" s="130">
        <f t="shared" si="1"/>
        <v>0.51797493094069602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3">
        <f t="shared" si="1"/>
        <v>26.259983984921174</v>
      </c>
      <c r="H22" s="174"/>
      <c r="I22" s="175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3">
        <f t="shared" si="1"/>
        <v>79.315531611984923</v>
      </c>
      <c r="H23" s="174"/>
      <c r="I23" s="175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99.9</v>
      </c>
      <c r="F29" s="31"/>
      <c r="G29" s="32"/>
      <c r="H29" s="31"/>
      <c r="J29" s="33" t="s">
        <v>15</v>
      </c>
      <c r="K29" s="34">
        <f>LOOKUP("LBKF",B29:E51)</f>
        <v>99.64</v>
      </c>
      <c r="L29" s="35"/>
    </row>
    <row r="30" spans="2:12" ht="16.5" customHeight="1" x14ac:dyDescent="0.25">
      <c r="B30" s="119"/>
      <c r="C30" s="120">
        <v>1.8000000000000007</v>
      </c>
      <c r="D30" s="121"/>
      <c r="E30" s="30">
        <v>99.72</v>
      </c>
      <c r="F30" s="31">
        <f t="shared" ref="F30:F37" si="2">IF(E30&gt;0,IF(E30&lt;K$29,K$29-E30,0),0)</f>
        <v>0</v>
      </c>
      <c r="G30" s="32">
        <f t="shared" ref="G30:G37" si="3">IF(E30&gt;0,IF(E30&lt;=K$29,C30-C29,0),0)</f>
        <v>0</v>
      </c>
      <c r="H30" s="31">
        <f t="shared" ref="H30:H37" si="4">IF(E30&lt;=K$29,G30*(F29+F30)/2,0)</f>
        <v>0</v>
      </c>
      <c r="J30" s="37" t="s">
        <v>71</v>
      </c>
      <c r="K30" s="11">
        <f>SUM(H29:H51)</f>
        <v>4.7011500000000241</v>
      </c>
      <c r="L30" s="35"/>
    </row>
    <row r="31" spans="2:12" ht="16.5" customHeight="1" x14ac:dyDescent="0.25">
      <c r="B31" s="119" t="s">
        <v>2</v>
      </c>
      <c r="C31" s="120">
        <v>2.0499999999999998</v>
      </c>
      <c r="D31" s="121"/>
      <c r="E31" s="30">
        <v>99.64</v>
      </c>
      <c r="F31" s="31">
        <f t="shared" si="2"/>
        <v>0</v>
      </c>
      <c r="G31" s="32">
        <f t="shared" si="3"/>
        <v>0.24999999999999911</v>
      </c>
      <c r="H31" s="31">
        <f t="shared" si="4"/>
        <v>0</v>
      </c>
      <c r="J31" s="37" t="s">
        <v>72</v>
      </c>
      <c r="K31" s="11">
        <f>LOOKUP("RBKF",B29:C51)-LOOKUP("LBKF",B29:C51)</f>
        <v>7.839999999999999</v>
      </c>
      <c r="L31" s="35"/>
    </row>
    <row r="32" spans="2:12" ht="16.5" customHeight="1" x14ac:dyDescent="0.25">
      <c r="B32" s="119"/>
      <c r="C32" s="120">
        <v>3.4700000000000006</v>
      </c>
      <c r="D32" s="121"/>
      <c r="E32" s="30">
        <v>99.16</v>
      </c>
      <c r="F32" s="31">
        <f t="shared" si="2"/>
        <v>0.48000000000000398</v>
      </c>
      <c r="G32" s="32">
        <f t="shared" si="3"/>
        <v>1.4200000000000008</v>
      </c>
      <c r="H32" s="31">
        <f t="shared" si="4"/>
        <v>0.34080000000000304</v>
      </c>
      <c r="J32" s="37" t="s">
        <v>73</v>
      </c>
      <c r="K32" s="11">
        <f>K30/K31</f>
        <v>0.59963647959183985</v>
      </c>
      <c r="L32" s="35"/>
    </row>
    <row r="33" spans="2:13" ht="16.5" customHeight="1" x14ac:dyDescent="0.25">
      <c r="B33" s="119"/>
      <c r="C33" s="120">
        <v>4.3600000000000012</v>
      </c>
      <c r="D33" s="121"/>
      <c r="E33" s="30">
        <v>98.99</v>
      </c>
      <c r="F33" s="31">
        <f t="shared" si="2"/>
        <v>0.65000000000000568</v>
      </c>
      <c r="G33" s="32">
        <f t="shared" si="3"/>
        <v>0.89000000000000057</v>
      </c>
      <c r="H33" s="31">
        <f t="shared" si="4"/>
        <v>0.50285000000000457</v>
      </c>
      <c r="J33" s="37" t="s">
        <v>74</v>
      </c>
      <c r="K33" s="38">
        <f>K31/K32</f>
        <v>13.074588132690868</v>
      </c>
      <c r="L33" s="35"/>
    </row>
    <row r="34" spans="2:13" ht="16.5" customHeight="1" x14ac:dyDescent="0.25">
      <c r="B34" s="119"/>
      <c r="C34" s="120">
        <v>7.1</v>
      </c>
      <c r="D34" s="121"/>
      <c r="E34" s="30">
        <v>98.64</v>
      </c>
      <c r="F34" s="31">
        <f t="shared" si="2"/>
        <v>1</v>
      </c>
      <c r="G34" s="32">
        <f t="shared" si="3"/>
        <v>2.7399999999999984</v>
      </c>
      <c r="H34" s="31">
        <f t="shared" si="4"/>
        <v>2.2605000000000066</v>
      </c>
      <c r="J34" s="37" t="s">
        <v>75</v>
      </c>
      <c r="K34" s="11">
        <f>MAX(F29:F51)</f>
        <v>1</v>
      </c>
      <c r="L34" s="35"/>
    </row>
    <row r="35" spans="2:13" ht="16.5" customHeight="1" x14ac:dyDescent="0.25">
      <c r="B35" s="119"/>
      <c r="C35" s="120">
        <v>8.7900000000000009</v>
      </c>
      <c r="D35" s="121"/>
      <c r="E35" s="30">
        <v>98.99</v>
      </c>
      <c r="F35" s="31">
        <f t="shared" si="2"/>
        <v>0.65000000000000568</v>
      </c>
      <c r="G35" s="32">
        <f t="shared" si="3"/>
        <v>1.6900000000000013</v>
      </c>
      <c r="H35" s="31">
        <f t="shared" si="4"/>
        <v>1.3942500000000058</v>
      </c>
      <c r="J35" s="37" t="s">
        <v>76</v>
      </c>
      <c r="K35" s="39">
        <f>K34/K32</f>
        <v>1.6676770577411824</v>
      </c>
      <c r="L35" s="35"/>
    </row>
    <row r="36" spans="2:13" ht="16.5" customHeight="1" x14ac:dyDescent="0.25">
      <c r="B36" s="119"/>
      <c r="C36" s="120">
        <v>9.1600000000000019</v>
      </c>
      <c r="D36" s="121"/>
      <c r="E36" s="30">
        <v>99.49</v>
      </c>
      <c r="F36" s="31">
        <f t="shared" si="2"/>
        <v>0.15000000000000568</v>
      </c>
      <c r="G36" s="32">
        <f t="shared" si="3"/>
        <v>0.37000000000000099</v>
      </c>
      <c r="H36" s="31">
        <f t="shared" si="4"/>
        <v>0.14800000000000249</v>
      </c>
      <c r="J36" s="40" t="s">
        <v>25</v>
      </c>
      <c r="K36" s="41">
        <v>1</v>
      </c>
      <c r="L36" s="35"/>
    </row>
    <row r="37" spans="2:13" ht="16.5" customHeight="1" x14ac:dyDescent="0.25">
      <c r="B37" s="119" t="s">
        <v>3</v>
      </c>
      <c r="C37" s="120">
        <v>9.8899999999999988</v>
      </c>
      <c r="D37" s="121"/>
      <c r="E37" s="30">
        <v>99.64</v>
      </c>
      <c r="F37" s="31">
        <f t="shared" si="2"/>
        <v>0</v>
      </c>
      <c r="G37" s="32">
        <f t="shared" si="3"/>
        <v>0.72999999999999687</v>
      </c>
      <c r="H37" s="31">
        <f t="shared" si="4"/>
        <v>5.4750000000001839E-2</v>
      </c>
      <c r="J37" s="40" t="s">
        <v>77</v>
      </c>
      <c r="K37" s="42">
        <f>+K36/K34</f>
        <v>1</v>
      </c>
      <c r="L37" s="35"/>
    </row>
    <row r="38" spans="2:13" ht="16.5" customHeight="1" x14ac:dyDescent="0.25">
      <c r="B38" s="119"/>
      <c r="C38" s="120">
        <v>15.44</v>
      </c>
      <c r="D38" s="121"/>
      <c r="E38" s="30">
        <v>99.75</v>
      </c>
      <c r="F38" s="31">
        <f t="shared" ref="F38" si="5">IF(E38&gt;0,IF(E38&lt;K$29,K$29-E38,0),0)</f>
        <v>0</v>
      </c>
      <c r="G38" s="32">
        <f t="shared" ref="G38" si="6">IF(E38&gt;0,IF(E38&lt;=K$29,C38-C37,0),0)</f>
        <v>0</v>
      </c>
      <c r="H38" s="31">
        <f t="shared" ref="H38" si="7">IF(E38&lt;=K$29,G38*(F37+F38)/2,0)</f>
        <v>0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/>
      <c r="D39" s="121"/>
      <c r="E39" s="30"/>
      <c r="F39" s="31"/>
      <c r="G39" s="32"/>
      <c r="H39" s="31"/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9.9601593625498006E-3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0.06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9.0392729591836787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0.52008054422383287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7.533405855664129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1.6024602183857333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0.32323731035425468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0.51797493094069602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26.259983984921174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79.315531611984923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4" sqref="E4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23.679245283018869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25.1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0.25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9.9601593625498006E-3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1.0557768924302789E-2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1.06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B2" sqref="B2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