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mc:AlternateContent xmlns:mc="http://schemas.openxmlformats.org/markup-compatibility/2006">
    <mc:Choice Requires="x15">
      <x15ac:absPath xmlns:x15ac="http://schemas.microsoft.com/office/spreadsheetml/2010/11/ac" url="Y:\Shared\EPR Folder\SC\Deliverables\20221215 SC Debit Calculator v1.1 and Manual\"/>
    </mc:Choice>
  </mc:AlternateContent>
  <xr:revisionPtr revIDLastSave="0" documentId="13_ncr:1_{F885F34B-2421-4358-B679-58CBDEAD5493}" xr6:coauthVersionLast="47" xr6:coauthVersionMax="47" xr10:uidLastSave="{00000000-0000-0000-0000-000000000000}"/>
  <bookViews>
    <workbookView xWindow="-28920" yWindow="-120" windowWidth="29040" windowHeight="15840" xr2:uid="{3FBA83D2-50E2-43BC-805F-25B156620CC9}"/>
  </bookViews>
  <sheets>
    <sheet name="Project Summary" sheetId="10" r:id="rId1"/>
    <sheet name="Functional Loss" sheetId="12" r:id="rId2"/>
    <sheet name="Parameter and Metric Selection" sheetId="22" r:id="rId3"/>
    <sheet name="Existing Conditions" sheetId="2" r:id="rId4"/>
    <sheet name="Reference Curves" sheetId="20" state="hidden" r:id="rId5"/>
    <sheet name="Pull Down Notes" sheetId="3" state="hidden" r:id="rId6"/>
  </sheets>
  <externalReferences>
    <externalReference r:id="rId7"/>
  </externalReferences>
  <definedNames>
    <definedName name="BedMaterial">'Pull Down Notes'!#REF!</definedName>
    <definedName name="BedType">'Pull Down Notes'!#REF!</definedName>
    <definedName name="BEHI.NBS" localSheetId="2">'[1]Pull Down Notes'!$B$30:$B$66</definedName>
    <definedName name="BEHI.NBS">'Pull Down Notes'!$B$22:$B$51</definedName>
    <definedName name="BufferLandUse">'[1]Pull Down Notes'!$B$128:$B$132</definedName>
    <definedName name="CanopyCover">'[1]Pull Down Notes'!$B$118:$B$120</definedName>
    <definedName name="CatchmentAssessment" localSheetId="2">'[1]Pull Down Notes'!$B$102:$B$105</definedName>
    <definedName name="CatchmentAssessment">'Pull Down Notes'!#REF!</definedName>
    <definedName name="CatchmentAssessmentQuat">'Pull Down Notes'!#REF!</definedName>
    <definedName name="DrainageArea">'Pull Down Notes'!#REF!</definedName>
    <definedName name="Ecoregion">'[1]Pull Down Notes'!$B$72:$B$76</definedName>
    <definedName name="Flow.Type">'Pull Down Notes'!#REF!</definedName>
    <definedName name="FlowType">'[1]Pull Down Notes'!$B$25:$B$28</definedName>
    <definedName name="Level">'Pull Down Notes'!#REF!</definedName>
    <definedName name="NCMacroSamplingMethod">'[1]Pull Down Notes'!$B$134:$B$136</definedName>
    <definedName name="_xlnm.Print_Area" localSheetId="1">'Functional Loss'!$A$1:$K$50</definedName>
    <definedName name="_xlnm.Print_Area" localSheetId="2">'Parameter and Metric Selection'!$A$1:$E$35</definedName>
    <definedName name="_xlnm.Print_Area" localSheetId="0">'Project Summary'!$A$1:$H$34,'Project Summary'!$J$6:$K$22</definedName>
    <definedName name="_xlnm.Print_Area" localSheetId="4">'Reference Curves'!$A$2:$E$26,'Reference Curves'!$F$2:$N$125,'Reference Curves'!$O$2:$U$47</definedName>
    <definedName name="_xlnm.Print_Titles" localSheetId="2">'Parameter and Metric Selection'!$6:$6</definedName>
    <definedName name="_xlnm.Print_Titles" localSheetId="4">'Reference Curves'!$2:$2</definedName>
    <definedName name="ProgramGoals" localSheetId="2">'[1]Pull Down Notes'!$B$81:$B$86</definedName>
    <definedName name="ProgramGoals">'Pull Down Notes'!#REF!</definedName>
    <definedName name="ProposedBedMaterial">'[1]Pull Down Notes'!$B$17:$B$23</definedName>
    <definedName name="Region">'Pull Down Notes'!#REF!</definedName>
    <definedName name="RestorationLevel">'[1]Pull Down Notes'!$B$68:$B$70</definedName>
    <definedName name="RiverBasins" localSheetId="2">'[1]Pull Down Notes'!$B$88:$B$96</definedName>
    <definedName name="RiverBasins">'Pull Down Notes'!#REF!</definedName>
    <definedName name="StreamOrder">'[1]Pull Down Notes'!$B$112:$B$116</definedName>
    <definedName name="StreamType" localSheetId="2">'[1]Pull Down Notes'!$B$1:$B$15</definedName>
    <definedName name="StreamType">'Pull Down Notes'!$B$1:$B$16</definedName>
    <definedName name="Temperature">'[1]Pull Down Notes'!$B$98:$B$100</definedName>
    <definedName name="ValleySlope">'[1]Pull Down Notes'!$B$122:$B$126</definedName>
    <definedName name="ValleyType">'[1]Pull Down Notes'!$B$107:$B$110</definedName>
    <definedName name="WaterTypes">'Pull Down Notes'!#REF!</definedName>
    <definedName name="Yes.No">'Pull Down Notes'!$B$63:$B$64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354" i="2" l="1"/>
  <c r="F352" i="2"/>
  <c r="F314" i="2"/>
  <c r="F276" i="2"/>
  <c r="F238" i="2"/>
  <c r="F200" i="2"/>
  <c r="F162" i="2"/>
  <c r="F124" i="2"/>
  <c r="F86" i="2"/>
  <c r="F48" i="2"/>
  <c r="F10" i="2"/>
  <c r="F25" i="2"/>
  <c r="K10" i="12"/>
  <c r="K11" i="12"/>
  <c r="K12" i="12"/>
  <c r="K13" i="12"/>
  <c r="K14" i="12"/>
  <c r="K15" i="12"/>
  <c r="K16" i="12"/>
  <c r="K17" i="12"/>
  <c r="K18" i="12"/>
  <c r="K9" i="12"/>
  <c r="C26" i="10"/>
  <c r="C23" i="10"/>
  <c r="C24" i="10"/>
  <c r="C25" i="10"/>
  <c r="C27" i="10"/>
  <c r="C28" i="10"/>
  <c r="C29" i="10"/>
  <c r="C30" i="10"/>
  <c r="C31" i="10"/>
  <c r="C22" i="10"/>
  <c r="I26" i="12"/>
  <c r="I27" i="12"/>
  <c r="I28" i="12"/>
  <c r="I29" i="12"/>
  <c r="I30" i="12"/>
  <c r="I31" i="12"/>
  <c r="I32" i="12"/>
  <c r="F372" i="2" l="1"/>
  <c r="F334" i="2"/>
  <c r="F296" i="2"/>
  <c r="F258" i="2"/>
  <c r="F220" i="2"/>
  <c r="F30" i="2"/>
  <c r="F68" i="2"/>
  <c r="F106" i="2"/>
  <c r="F144" i="2"/>
  <c r="F182" i="2"/>
  <c r="F379" i="2" l="1"/>
  <c r="F378" i="2"/>
  <c r="F377" i="2"/>
  <c r="F376" i="2"/>
  <c r="F375" i="2"/>
  <c r="F374" i="2"/>
  <c r="F373" i="2"/>
  <c r="F371" i="2"/>
  <c r="F370" i="2"/>
  <c r="F369" i="2"/>
  <c r="F367" i="2"/>
  <c r="F366" i="2"/>
  <c r="F365" i="2"/>
  <c r="F364" i="2"/>
  <c r="F363" i="2"/>
  <c r="F362" i="2"/>
  <c r="F361" i="2"/>
  <c r="F360" i="2"/>
  <c r="F359" i="2"/>
  <c r="F358" i="2"/>
  <c r="F357" i="2"/>
  <c r="F356" i="2"/>
  <c r="F355" i="2"/>
  <c r="F353" i="2"/>
  <c r="F351" i="2"/>
  <c r="F341" i="2"/>
  <c r="F340" i="2"/>
  <c r="F339" i="2"/>
  <c r="F338" i="2"/>
  <c r="F337" i="2"/>
  <c r="F336" i="2"/>
  <c r="F335" i="2"/>
  <c r="F333" i="2"/>
  <c r="F332" i="2"/>
  <c r="F331" i="2"/>
  <c r="F329" i="2"/>
  <c r="F328" i="2"/>
  <c r="F327" i="2"/>
  <c r="F326" i="2"/>
  <c r="F325" i="2"/>
  <c r="F324" i="2"/>
  <c r="F323" i="2"/>
  <c r="F322" i="2"/>
  <c r="F321" i="2"/>
  <c r="F320" i="2"/>
  <c r="F319" i="2"/>
  <c r="F318" i="2"/>
  <c r="F317" i="2"/>
  <c r="F316" i="2"/>
  <c r="F315" i="2"/>
  <c r="F313" i="2"/>
  <c r="F303" i="2"/>
  <c r="F302" i="2"/>
  <c r="F301" i="2"/>
  <c r="F300" i="2"/>
  <c r="F299" i="2"/>
  <c r="F298" i="2"/>
  <c r="F297" i="2"/>
  <c r="F295" i="2"/>
  <c r="F294" i="2"/>
  <c r="F293" i="2"/>
  <c r="F291" i="2"/>
  <c r="F290" i="2"/>
  <c r="F289" i="2"/>
  <c r="F288" i="2"/>
  <c r="F287" i="2"/>
  <c r="F286" i="2"/>
  <c r="F285" i="2"/>
  <c r="F284" i="2"/>
  <c r="F283" i="2"/>
  <c r="F282" i="2"/>
  <c r="F281" i="2"/>
  <c r="F280" i="2"/>
  <c r="F279" i="2"/>
  <c r="F278" i="2"/>
  <c r="F277" i="2"/>
  <c r="F275" i="2"/>
  <c r="F265" i="2"/>
  <c r="F264" i="2"/>
  <c r="F263" i="2"/>
  <c r="F262" i="2"/>
  <c r="F261" i="2"/>
  <c r="F260" i="2"/>
  <c r="F259" i="2"/>
  <c r="F257" i="2"/>
  <c r="F256" i="2"/>
  <c r="F255" i="2"/>
  <c r="F253" i="2"/>
  <c r="F252" i="2"/>
  <c r="F251" i="2"/>
  <c r="F250" i="2"/>
  <c r="F249" i="2"/>
  <c r="F248" i="2"/>
  <c r="F247" i="2"/>
  <c r="F246" i="2"/>
  <c r="F245" i="2"/>
  <c r="F244" i="2"/>
  <c r="F243" i="2"/>
  <c r="F242" i="2"/>
  <c r="F241" i="2"/>
  <c r="F240" i="2"/>
  <c r="F239" i="2"/>
  <c r="F237" i="2"/>
  <c r="F227" i="2"/>
  <c r="F226" i="2"/>
  <c r="F225" i="2"/>
  <c r="F224" i="2"/>
  <c r="F223" i="2"/>
  <c r="F222" i="2"/>
  <c r="F221" i="2"/>
  <c r="F219" i="2"/>
  <c r="F218" i="2"/>
  <c r="F217" i="2"/>
  <c r="F215" i="2"/>
  <c r="F214" i="2"/>
  <c r="F213" i="2"/>
  <c r="F212" i="2"/>
  <c r="F211" i="2"/>
  <c r="F210" i="2"/>
  <c r="F209" i="2"/>
  <c r="F208" i="2"/>
  <c r="F207" i="2"/>
  <c r="F206" i="2"/>
  <c r="F205" i="2"/>
  <c r="F204" i="2"/>
  <c r="F203" i="2"/>
  <c r="F202" i="2"/>
  <c r="F201" i="2"/>
  <c r="F199" i="2"/>
  <c r="F189" i="2"/>
  <c r="F188" i="2"/>
  <c r="F187" i="2"/>
  <c r="F186" i="2"/>
  <c r="F185" i="2"/>
  <c r="F184" i="2"/>
  <c r="F183" i="2"/>
  <c r="F181" i="2"/>
  <c r="F180" i="2"/>
  <c r="F179" i="2"/>
  <c r="F177" i="2"/>
  <c r="F176" i="2"/>
  <c r="F175" i="2"/>
  <c r="F174" i="2"/>
  <c r="F173" i="2"/>
  <c r="F172" i="2"/>
  <c r="F171" i="2"/>
  <c r="F170" i="2"/>
  <c r="F169" i="2"/>
  <c r="F168" i="2"/>
  <c r="F167" i="2"/>
  <c r="F166" i="2"/>
  <c r="F165" i="2"/>
  <c r="F164" i="2"/>
  <c r="F163" i="2"/>
  <c r="F161" i="2"/>
  <c r="F151" i="2"/>
  <c r="F150" i="2"/>
  <c r="F149" i="2"/>
  <c r="F148" i="2"/>
  <c r="F147" i="2"/>
  <c r="F146" i="2"/>
  <c r="F145" i="2"/>
  <c r="F143" i="2"/>
  <c r="F142" i="2"/>
  <c r="F141" i="2"/>
  <c r="F139" i="2"/>
  <c r="F138" i="2"/>
  <c r="F137" i="2"/>
  <c r="F136" i="2"/>
  <c r="F135" i="2"/>
  <c r="F134" i="2"/>
  <c r="F133" i="2"/>
  <c r="F132" i="2"/>
  <c r="F131" i="2"/>
  <c r="F130" i="2"/>
  <c r="F129" i="2"/>
  <c r="F128" i="2"/>
  <c r="F127" i="2"/>
  <c r="F126" i="2"/>
  <c r="F125" i="2"/>
  <c r="F123" i="2"/>
  <c r="F113" i="2"/>
  <c r="F112" i="2"/>
  <c r="F111" i="2"/>
  <c r="F110" i="2"/>
  <c r="F109" i="2"/>
  <c r="F108" i="2"/>
  <c r="F107" i="2"/>
  <c r="F105" i="2"/>
  <c r="F104" i="2"/>
  <c r="F103" i="2"/>
  <c r="F101" i="2"/>
  <c r="F100" i="2"/>
  <c r="F99" i="2"/>
  <c r="F98" i="2"/>
  <c r="F97" i="2"/>
  <c r="F96" i="2"/>
  <c r="F95" i="2"/>
  <c r="F94" i="2"/>
  <c r="F93" i="2"/>
  <c r="F92" i="2"/>
  <c r="F91" i="2"/>
  <c r="F90" i="2"/>
  <c r="F89" i="2"/>
  <c r="F88" i="2"/>
  <c r="F87" i="2"/>
  <c r="F85" i="2"/>
  <c r="F75" i="2"/>
  <c r="F74" i="2"/>
  <c r="F73" i="2"/>
  <c r="F72" i="2"/>
  <c r="F71" i="2"/>
  <c r="F70" i="2"/>
  <c r="F69" i="2"/>
  <c r="F67" i="2"/>
  <c r="F66" i="2"/>
  <c r="F65" i="2"/>
  <c r="F63" i="2"/>
  <c r="F62" i="2"/>
  <c r="F61" i="2"/>
  <c r="F60" i="2"/>
  <c r="F59" i="2"/>
  <c r="F58" i="2"/>
  <c r="F57" i="2"/>
  <c r="F56" i="2"/>
  <c r="F55" i="2"/>
  <c r="F54" i="2"/>
  <c r="F53" i="2"/>
  <c r="F52" i="2"/>
  <c r="F51" i="2"/>
  <c r="F50" i="2"/>
  <c r="F49" i="2"/>
  <c r="F47" i="2"/>
  <c r="F37" i="2" l="1"/>
  <c r="F36" i="2"/>
  <c r="F35" i="2"/>
  <c r="F34" i="2"/>
  <c r="F33" i="2"/>
  <c r="F32" i="2"/>
  <c r="F31" i="2"/>
  <c r="F20" i="2" l="1"/>
  <c r="D23" i="10" l="1"/>
  <c r="D24" i="10"/>
  <c r="D25" i="10"/>
  <c r="D26" i="10"/>
  <c r="D27" i="10"/>
  <c r="D28" i="10"/>
  <c r="D29" i="10"/>
  <c r="D30" i="10"/>
  <c r="D31" i="10"/>
  <c r="D22" i="10"/>
  <c r="C1" i="12" l="1"/>
  <c r="C4" i="12"/>
  <c r="C3" i="12"/>
  <c r="F12" i="2" l="1"/>
  <c r="F29" i="2"/>
  <c r="F28" i="2"/>
  <c r="F27" i="2"/>
  <c r="B346" i="2" l="1"/>
  <c r="B308" i="2"/>
  <c r="B270" i="2"/>
  <c r="B232" i="2"/>
  <c r="B156" i="2"/>
  <c r="B194" i="2"/>
  <c r="B118" i="2"/>
  <c r="B80" i="2"/>
  <c r="B42" i="2"/>
  <c r="B4" i="2"/>
  <c r="B23" i="10" l="1"/>
  <c r="A22" i="10" l="1"/>
  <c r="B22" i="10"/>
  <c r="A23" i="10" l="1"/>
  <c r="A24" i="10"/>
  <c r="A25" i="10"/>
  <c r="A26" i="10"/>
  <c r="A27" i="10"/>
  <c r="A28" i="10"/>
  <c r="A29" i="10"/>
  <c r="A30" i="10"/>
  <c r="A31" i="10"/>
  <c r="B24" i="10"/>
  <c r="B25" i="10"/>
  <c r="B26" i="10"/>
  <c r="B27" i="10"/>
  <c r="B28" i="10"/>
  <c r="B29" i="10"/>
  <c r="B30" i="10"/>
  <c r="B31" i="10"/>
  <c r="F23" i="10" a="1"/>
  <c r="F23" i="10" s="1"/>
  <c r="F24" i="10" a="1"/>
  <c r="F24" i="10" s="1"/>
  <c r="F25" i="10" a="1"/>
  <c r="F25" i="10" s="1"/>
  <c r="F26" i="10" a="1"/>
  <c r="F26" i="10" s="1"/>
  <c r="F27" i="10" a="1"/>
  <c r="F27" i="10" s="1"/>
  <c r="F28" i="10" a="1"/>
  <c r="F28" i="10" s="1"/>
  <c r="F29" i="10" a="1"/>
  <c r="F29" i="10" s="1"/>
  <c r="F30" i="10" a="1"/>
  <c r="F30" i="10" s="1"/>
  <c r="F31" i="10" a="1"/>
  <c r="F31" i="10" s="1"/>
  <c r="F22" i="10" a="1"/>
  <c r="F22" i="10" s="1"/>
  <c r="B33" i="10" l="1"/>
  <c r="D33" i="10" l="1" a="1"/>
  <c r="D33" i="10" s="1"/>
  <c r="F9" i="2"/>
  <c r="G23" i="10" l="1"/>
  <c r="G22" i="10"/>
  <c r="G30" i="10"/>
  <c r="G26" i="10"/>
  <c r="G27" i="10"/>
  <c r="G29" i="10"/>
  <c r="G28" i="10"/>
  <c r="G31" i="10"/>
  <c r="G25" i="10"/>
  <c r="G24" i="10"/>
  <c r="C15" i="12" l="1"/>
  <c r="B348" i="2"/>
  <c r="B347" i="2"/>
  <c r="B345" i="2"/>
  <c r="B344" i="2"/>
  <c r="B310" i="2"/>
  <c r="B309" i="2"/>
  <c r="B307" i="2"/>
  <c r="G341" i="2" s="1" a="1"/>
  <c r="G341" i="2" s="1"/>
  <c r="B306" i="2"/>
  <c r="B272" i="2"/>
  <c r="B271" i="2"/>
  <c r="B269" i="2"/>
  <c r="B268" i="2"/>
  <c r="B234" i="2"/>
  <c r="B233" i="2"/>
  <c r="B231" i="2"/>
  <c r="B230" i="2"/>
  <c r="B196" i="2"/>
  <c r="B195" i="2"/>
  <c r="B193" i="2"/>
  <c r="G227" i="2" s="1" a="1"/>
  <c r="G227" i="2" s="1"/>
  <c r="B192" i="2"/>
  <c r="B158" i="2"/>
  <c r="B157" i="2"/>
  <c r="B155" i="2"/>
  <c r="G189" i="2" s="1" a="1"/>
  <c r="G189" i="2" s="1"/>
  <c r="B154" i="2"/>
  <c r="B120" i="2"/>
  <c r="B117" i="2"/>
  <c r="G151" i="2" s="1" a="1"/>
  <c r="G151" i="2" s="1"/>
  <c r="B119" i="2"/>
  <c r="B116" i="2"/>
  <c r="B82" i="2"/>
  <c r="B81" i="2"/>
  <c r="B79" i="2"/>
  <c r="G113" i="2" s="1" a="1"/>
  <c r="G113" i="2" s="1"/>
  <c r="B78" i="2"/>
  <c r="B44" i="2"/>
  <c r="B43" i="2"/>
  <c r="B40" i="2"/>
  <c r="B41" i="2"/>
  <c r="G75" i="2" s="1" a="1"/>
  <c r="G75" i="2" s="1"/>
  <c r="B2" i="2"/>
  <c r="F24" i="2"/>
  <c r="F23" i="2"/>
  <c r="F22" i="2"/>
  <c r="F21" i="2"/>
  <c r="F19" i="2"/>
  <c r="F18" i="2"/>
  <c r="F16" i="2"/>
  <c r="F15" i="2"/>
  <c r="F14" i="2"/>
  <c r="F13" i="2"/>
  <c r="F11" i="2"/>
  <c r="G378" i="2" l="1" a="1"/>
  <c r="G378" i="2" s="1"/>
  <c r="G379" i="2" a="1"/>
  <c r="G379" i="2" s="1"/>
  <c r="G296" i="2" a="1"/>
  <c r="G296" i="2" s="1"/>
  <c r="G303" i="2" a="1"/>
  <c r="G303" i="2" s="1"/>
  <c r="G258" i="2" a="1"/>
  <c r="G258" i="2" s="1"/>
  <c r="G265" i="2" a="1"/>
  <c r="G265" i="2" s="1"/>
  <c r="G182" i="2" a="1"/>
  <c r="G182" i="2" s="1"/>
  <c r="G186" i="2" a="1"/>
  <c r="G186" i="2" s="1"/>
  <c r="G188" i="2" a="1"/>
  <c r="G188" i="2" s="1"/>
  <c r="H188" i="2" s="1"/>
  <c r="I188" i="2" s="1"/>
  <c r="G356" i="2" a="1"/>
  <c r="G356" i="2" s="1"/>
  <c r="G372" i="2" a="1"/>
  <c r="G372" i="2" s="1"/>
  <c r="G355" i="2" a="1"/>
  <c r="G355" i="2" s="1"/>
  <c r="G376" i="2" a="1"/>
  <c r="G376" i="2" s="1"/>
  <c r="G374" i="2" a="1"/>
  <c r="G374" i="2" s="1"/>
  <c r="G375" i="2" a="1"/>
  <c r="G375" i="2" s="1"/>
  <c r="G353" i="2" a="1"/>
  <c r="G353" i="2" s="1"/>
  <c r="G369" i="2" a="1"/>
  <c r="G369" i="2" s="1"/>
  <c r="G351" i="2" a="1"/>
  <c r="G351" i="2" s="1"/>
  <c r="H351" i="2" s="1"/>
  <c r="G373" i="2" a="1"/>
  <c r="G373" i="2" s="1"/>
  <c r="G362" i="2" a="1"/>
  <c r="G362" i="2" s="1"/>
  <c r="G358" i="2" a="1"/>
  <c r="G358" i="2" s="1"/>
  <c r="G340" i="2" a="1"/>
  <c r="G340" i="2" s="1"/>
  <c r="H340" i="2" s="1"/>
  <c r="I340" i="2" s="1"/>
  <c r="G334" i="2" a="1"/>
  <c r="G334" i="2" s="1"/>
  <c r="G336" i="2" a="1"/>
  <c r="G336" i="2" s="1"/>
  <c r="G313" i="2" a="1"/>
  <c r="G313" i="2" s="1"/>
  <c r="H313" i="2" s="1"/>
  <c r="G335" i="2" a="1"/>
  <c r="G335" i="2" s="1"/>
  <c r="G324" i="2" a="1"/>
  <c r="G324" i="2" s="1"/>
  <c r="G337" i="2" a="1"/>
  <c r="G337" i="2" s="1"/>
  <c r="G318" i="2" a="1"/>
  <c r="G318" i="2" s="1"/>
  <c r="G331" i="2" a="1"/>
  <c r="G331" i="2" s="1"/>
  <c r="G320" i="2" a="1"/>
  <c r="G320" i="2" s="1"/>
  <c r="G317" i="2" a="1"/>
  <c r="G317" i="2" s="1"/>
  <c r="G315" i="2" a="1"/>
  <c r="G315" i="2" s="1"/>
  <c r="G338" i="2" a="1"/>
  <c r="G338" i="2" s="1"/>
  <c r="G279" i="2" a="1"/>
  <c r="G279" i="2" s="1"/>
  <c r="G297" i="2" a="1"/>
  <c r="G297" i="2" s="1"/>
  <c r="G275" i="2" a="1"/>
  <c r="G275" i="2" s="1"/>
  <c r="H275" i="2" s="1"/>
  <c r="G282" i="2" a="1"/>
  <c r="G282" i="2" s="1"/>
  <c r="G286" i="2" a="1"/>
  <c r="G286" i="2" s="1"/>
  <c r="G302" i="2" a="1"/>
  <c r="G302" i="2" s="1"/>
  <c r="H302" i="2" s="1"/>
  <c r="I302" i="2" s="1"/>
  <c r="G300" i="2" a="1"/>
  <c r="G300" i="2" s="1"/>
  <c r="G298" i="2" a="1"/>
  <c r="G298" i="2" s="1"/>
  <c r="G277" i="2" a="1"/>
  <c r="G277" i="2" s="1"/>
  <c r="G299" i="2" a="1"/>
  <c r="G299" i="2" s="1"/>
  <c r="G293" i="2" a="1"/>
  <c r="G293" i="2" s="1"/>
  <c r="G280" i="2" a="1"/>
  <c r="G280" i="2" s="1"/>
  <c r="G241" i="2" a="1"/>
  <c r="G241" i="2" s="1"/>
  <c r="G260" i="2" a="1"/>
  <c r="G260" i="2" s="1"/>
  <c r="G264" i="2" a="1"/>
  <c r="G264" i="2" s="1"/>
  <c r="G261" i="2" a="1"/>
  <c r="G261" i="2" s="1"/>
  <c r="G242" i="2" a="1"/>
  <c r="G242" i="2" s="1"/>
  <c r="G248" i="2" a="1"/>
  <c r="G248" i="2" s="1"/>
  <c r="G259" i="2" a="1"/>
  <c r="G259" i="2" s="1"/>
  <c r="G239" i="2" a="1"/>
  <c r="G239" i="2" s="1"/>
  <c r="G237" i="2" a="1"/>
  <c r="G237" i="2" s="1"/>
  <c r="H237" i="2" s="1"/>
  <c r="G244" i="2" a="1"/>
  <c r="G244" i="2" s="1"/>
  <c r="G262" i="2" a="1"/>
  <c r="G262" i="2" s="1"/>
  <c r="G255" i="2" a="1"/>
  <c r="G255" i="2" s="1"/>
  <c r="G220" i="2" a="1"/>
  <c r="G220" i="2" s="1"/>
  <c r="G222" i="2" a="1"/>
  <c r="G222" i="2" s="1"/>
  <c r="G203" i="2" a="1"/>
  <c r="G203" i="2" s="1"/>
  <c r="G204" i="2" a="1"/>
  <c r="G204" i="2" s="1"/>
  <c r="G199" i="2" a="1"/>
  <c r="G199" i="2" s="1"/>
  <c r="H199" i="2" s="1"/>
  <c r="G210" i="2" a="1"/>
  <c r="G210" i="2" s="1"/>
  <c r="G206" i="2" a="1"/>
  <c r="G206" i="2" s="1"/>
  <c r="G221" i="2" a="1"/>
  <c r="G221" i="2" s="1"/>
  <c r="G224" i="2" a="1"/>
  <c r="G224" i="2" s="1"/>
  <c r="G226" i="2" a="1"/>
  <c r="G226" i="2" s="1"/>
  <c r="H226" i="2" s="1"/>
  <c r="I226" i="2" s="1"/>
  <c r="G217" i="2" a="1"/>
  <c r="G217" i="2" s="1"/>
  <c r="G201" i="2" a="1"/>
  <c r="G201" i="2" s="1"/>
  <c r="H201" i="2" s="1"/>
  <c r="I201" i="2" s="1"/>
  <c r="G223" i="2" a="1"/>
  <c r="G223" i="2" s="1"/>
  <c r="G166" i="2" a="1"/>
  <c r="G166" i="2" s="1"/>
  <c r="G161" i="2" a="1"/>
  <c r="G161" i="2" s="1"/>
  <c r="H161" i="2" s="1"/>
  <c r="G184" i="2" a="1"/>
  <c r="G184" i="2" s="1"/>
  <c r="G165" i="2" a="1"/>
  <c r="G165" i="2" s="1"/>
  <c r="G172" i="2" a="1"/>
  <c r="G172" i="2" s="1"/>
  <c r="G185" i="2" a="1"/>
  <c r="G185" i="2" s="1"/>
  <c r="G179" i="2" a="1"/>
  <c r="G179" i="2" s="1"/>
  <c r="G183" i="2" a="1"/>
  <c r="G183" i="2" s="1"/>
  <c r="G163" i="2" a="1"/>
  <c r="G163" i="2" s="1"/>
  <c r="G168" i="2" a="1"/>
  <c r="G168" i="2" s="1"/>
  <c r="G127" i="2" a="1"/>
  <c r="G127" i="2" s="1"/>
  <c r="G144" i="2" a="1"/>
  <c r="G144" i="2" s="1"/>
  <c r="G145" i="2" a="1"/>
  <c r="G145" i="2" s="1"/>
  <c r="G147" i="2" a="1"/>
  <c r="G147" i="2" s="1"/>
  <c r="G125" i="2" a="1"/>
  <c r="G125" i="2" s="1"/>
  <c r="H125" i="2" s="1"/>
  <c r="I125" i="2" s="1"/>
  <c r="G146" i="2" a="1"/>
  <c r="G146" i="2" s="1"/>
  <c r="G134" i="2" a="1"/>
  <c r="G134" i="2" s="1"/>
  <c r="G123" i="2" a="1"/>
  <c r="G123" i="2" s="1"/>
  <c r="H123" i="2" s="1"/>
  <c r="G148" i="2" a="1"/>
  <c r="G148" i="2" s="1"/>
  <c r="G130" i="2" a="1"/>
  <c r="G130" i="2" s="1"/>
  <c r="G128" i="2" a="1"/>
  <c r="G128" i="2" s="1"/>
  <c r="G150" i="2" a="1"/>
  <c r="G150" i="2" s="1"/>
  <c r="H150" i="2" s="1"/>
  <c r="I150" i="2" s="1"/>
  <c r="G141" i="2" a="1"/>
  <c r="G141" i="2" s="1"/>
  <c r="G106" i="2" a="1"/>
  <c r="G106" i="2" s="1"/>
  <c r="G110" i="2" a="1"/>
  <c r="G110" i="2" s="1"/>
  <c r="G89" i="2" a="1"/>
  <c r="G89" i="2" s="1"/>
  <c r="G90" i="2" a="1"/>
  <c r="G90" i="2" s="1"/>
  <c r="G96" i="2" a="1"/>
  <c r="G96" i="2" s="1"/>
  <c r="G109" i="2" a="1"/>
  <c r="G109" i="2" s="1"/>
  <c r="G103" i="2" a="1"/>
  <c r="G103" i="2" s="1"/>
  <c r="G107" i="2" a="1"/>
  <c r="G107" i="2" s="1"/>
  <c r="G112" i="2" a="1"/>
  <c r="G112" i="2" s="1"/>
  <c r="H112" i="2" s="1"/>
  <c r="I112" i="2" s="1"/>
  <c r="G108" i="2" a="1"/>
  <c r="G108" i="2" s="1"/>
  <c r="G92" i="2" a="1"/>
  <c r="G92" i="2" s="1"/>
  <c r="G85" i="2" a="1"/>
  <c r="G85" i="2" s="1"/>
  <c r="H85" i="2" s="1"/>
  <c r="G87" i="2" a="1"/>
  <c r="G87" i="2" s="1"/>
  <c r="G68" i="2" a="1"/>
  <c r="G68" i="2" s="1"/>
  <c r="G71" i="2" a="1"/>
  <c r="G71" i="2" s="1"/>
  <c r="G65" i="2" a="1"/>
  <c r="G65" i="2" s="1"/>
  <c r="G70" i="2" a="1"/>
  <c r="G70" i="2" s="1"/>
  <c r="G54" i="2" a="1"/>
  <c r="G54" i="2" s="1"/>
  <c r="G72" i="2" a="1"/>
  <c r="G72" i="2" s="1"/>
  <c r="G69" i="2" a="1"/>
  <c r="G69" i="2" s="1"/>
  <c r="G49" i="2" a="1"/>
  <c r="G49" i="2" s="1"/>
  <c r="G74" i="2" a="1"/>
  <c r="G74" i="2" s="1"/>
  <c r="H74" i="2" s="1"/>
  <c r="I74" i="2" s="1"/>
  <c r="G47" i="2" a="1"/>
  <c r="G47" i="2" s="1"/>
  <c r="H47" i="2" s="1"/>
  <c r="G51" i="2" a="1"/>
  <c r="G51" i="2" s="1"/>
  <c r="G58" i="2" a="1"/>
  <c r="G58" i="2" s="1"/>
  <c r="G52" i="2" a="1"/>
  <c r="G52" i="2" s="1"/>
  <c r="G66" i="20"/>
  <c r="G62" i="20"/>
  <c r="G58" i="20"/>
  <c r="J50" i="20"/>
  <c r="K38" i="20"/>
  <c r="H264" i="2" l="1"/>
  <c r="I264" i="2" s="1"/>
  <c r="H315" i="2"/>
  <c r="I315" i="2" s="1"/>
  <c r="H378" i="2"/>
  <c r="I378" i="2" s="1"/>
  <c r="H87" i="2"/>
  <c r="I87" i="2" s="1"/>
  <c r="H239" i="2"/>
  <c r="I239" i="2" s="1"/>
  <c r="H49" i="2"/>
  <c r="I49" i="2" s="1"/>
  <c r="H353" i="2"/>
  <c r="I353" i="2" s="1"/>
  <c r="H52" i="2"/>
  <c r="I52" i="2" s="1"/>
  <c r="H277" i="2"/>
  <c r="I277" i="2" s="1"/>
  <c r="H280" i="2"/>
  <c r="I280" i="2" s="1"/>
  <c r="H318" i="2"/>
  <c r="I318" i="2" s="1"/>
  <c r="H356" i="2"/>
  <c r="I356" i="2" s="1"/>
  <c r="H182" i="2"/>
  <c r="I182" i="2" s="1"/>
  <c r="H258" i="2"/>
  <c r="I258" i="2" s="1"/>
  <c r="H296" i="2"/>
  <c r="I296" i="2" s="1"/>
  <c r="H372" i="2"/>
  <c r="I372" i="2" s="1"/>
  <c r="I351" i="2"/>
  <c r="I313" i="2"/>
  <c r="H334" i="2"/>
  <c r="I334" i="2" s="1"/>
  <c r="I275" i="2"/>
  <c r="H242" i="2"/>
  <c r="I242" i="2" s="1"/>
  <c r="I237" i="2"/>
  <c r="I199" i="2"/>
  <c r="H204" i="2"/>
  <c r="I204" i="2" s="1"/>
  <c r="H220" i="2"/>
  <c r="I220" i="2" s="1"/>
  <c r="H163" i="2"/>
  <c r="I163" i="2" s="1"/>
  <c r="I161" i="2"/>
  <c r="H166" i="2"/>
  <c r="I166" i="2" s="1"/>
  <c r="I123" i="2"/>
  <c r="H128" i="2"/>
  <c r="I128" i="2" s="1"/>
  <c r="H144" i="2"/>
  <c r="I144" i="2" s="1"/>
  <c r="H90" i="2"/>
  <c r="I90" i="2" s="1"/>
  <c r="I85" i="2"/>
  <c r="H106" i="2"/>
  <c r="I106" i="2" s="1"/>
  <c r="I47" i="2"/>
  <c r="H68" i="2"/>
  <c r="I68" i="2" s="1"/>
  <c r="B3" i="2"/>
  <c r="B5" i="2"/>
  <c r="F17" i="2"/>
  <c r="G31" i="2" l="1" a="1"/>
  <c r="G31" i="2" s="1"/>
  <c r="G30" i="2" a="1"/>
  <c r="G30" i="2" s="1"/>
  <c r="G34" i="2" a="1"/>
  <c r="G34" i="2" s="1"/>
  <c r="G37" i="2" a="1"/>
  <c r="G37" i="2" s="1"/>
  <c r="J237" i="2"/>
  <c r="K29" i="12" s="1"/>
  <c r="G15" i="12" s="1"/>
  <c r="I15" i="12" s="1"/>
  <c r="J15" i="12" s="1"/>
  <c r="H16" i="10" s="1"/>
  <c r="H28" i="10" s="1"/>
  <c r="J275" i="2"/>
  <c r="K30" i="12" s="1"/>
  <c r="J351" i="2"/>
  <c r="K32" i="12" s="1"/>
  <c r="J313" i="2"/>
  <c r="K31" i="12" s="1"/>
  <c r="J199" i="2"/>
  <c r="K28" i="12" s="1"/>
  <c r="J161" i="2"/>
  <c r="K27" i="12" s="1"/>
  <c r="J123" i="2"/>
  <c r="K26" i="12" s="1"/>
  <c r="J85" i="2"/>
  <c r="K25" i="12" s="1"/>
  <c r="J47" i="2"/>
  <c r="K24" i="12" s="1"/>
  <c r="G9" i="2" a="1"/>
  <c r="G9" i="2" s="1"/>
  <c r="H9" i="2" s="1"/>
  <c r="I9" i="2" s="1"/>
  <c r="G27" i="2" a="1"/>
  <c r="G27" i="2" s="1"/>
  <c r="G13" i="2" a="1"/>
  <c r="G13" i="2" s="1"/>
  <c r="G32" i="2" a="1"/>
  <c r="G32" i="2" s="1"/>
  <c r="G36" i="2" a="1"/>
  <c r="G36" i="2" s="1"/>
  <c r="G11" i="2" a="1"/>
  <c r="G11" i="2" s="1"/>
  <c r="G33" i="2" a="1"/>
  <c r="G33" i="2" s="1"/>
  <c r="G14" i="2" a="1"/>
  <c r="G14" i="2" s="1"/>
  <c r="G20" i="2" a="1"/>
  <c r="G20" i="2" s="1"/>
  <c r="G16" i="2" a="1"/>
  <c r="G16" i="2" s="1"/>
  <c r="I24" i="12"/>
  <c r="I25" i="12"/>
  <c r="I23" i="12"/>
  <c r="H36" i="2" l="1"/>
  <c r="I36" i="2" s="1"/>
  <c r="H11" i="2"/>
  <c r="I11" i="2" s="1"/>
  <c r="B6" i="2"/>
  <c r="H30" i="2" s="1"/>
  <c r="I30" i="2" s="1"/>
  <c r="C8" i="12"/>
  <c r="C9" i="12"/>
  <c r="C10" i="12"/>
  <c r="C11" i="12"/>
  <c r="C12" i="12"/>
  <c r="C13" i="12"/>
  <c r="C14" i="12"/>
  <c r="C16" i="12"/>
  <c r="C17" i="12"/>
  <c r="C18" i="12"/>
  <c r="G11" i="12" l="1"/>
  <c r="G14" i="12"/>
  <c r="G13" i="12"/>
  <c r="G12" i="12"/>
  <c r="G10" i="12"/>
  <c r="G18" i="12"/>
  <c r="G17" i="12"/>
  <c r="G16" i="12"/>
  <c r="I16" i="12" l="1"/>
  <c r="J16" i="12" s="1"/>
  <c r="H17" i="10" s="1"/>
  <c r="H29" i="10" s="1"/>
  <c r="I17" i="12"/>
  <c r="J17" i="12" s="1"/>
  <c r="H18" i="10" s="1"/>
  <c r="H30" i="10" s="1"/>
  <c r="I12" i="12"/>
  <c r="J12" i="12" s="1"/>
  <c r="H13" i="10" s="1"/>
  <c r="H25" i="10" s="1"/>
  <c r="I18" i="12"/>
  <c r="J18" i="12" s="1"/>
  <c r="H19" i="10" s="1"/>
  <c r="H31" i="10" s="1"/>
  <c r="I10" i="12"/>
  <c r="J10" i="12" s="1"/>
  <c r="H11" i="10" s="1"/>
  <c r="H23" i="10" s="1"/>
  <c r="I13" i="12"/>
  <c r="J13" i="12" s="1"/>
  <c r="H14" i="10" s="1"/>
  <c r="H26" i="10" s="1"/>
  <c r="I14" i="12"/>
  <c r="J14" i="12" s="1"/>
  <c r="H15" i="10" s="1"/>
  <c r="H27" i="10" s="1"/>
  <c r="I11" i="12"/>
  <c r="J11" i="12" s="1"/>
  <c r="H12" i="10" s="1"/>
  <c r="H24" i="10" s="1"/>
  <c r="L28" i="12"/>
  <c r="L32" i="12"/>
  <c r="L30" i="12"/>
  <c r="L26" i="12"/>
  <c r="L31" i="12"/>
  <c r="L24" i="12"/>
  <c r="L33" i="12"/>
  <c r="L25" i="12"/>
  <c r="L27" i="12"/>
  <c r="L29" i="12"/>
  <c r="A9" i="12" l="1"/>
  <c r="A10" i="12" l="1"/>
  <c r="A11" i="12"/>
  <c r="A12" i="12"/>
  <c r="A13" i="12"/>
  <c r="A14" i="12"/>
  <c r="A15" i="12"/>
  <c r="A16" i="12"/>
  <c r="A17" i="12"/>
  <c r="A18" i="12"/>
  <c r="H14" i="2" l="1"/>
  <c r="I14" i="2" l="1"/>
  <c r="J9" i="2"/>
  <c r="K23" i="12" s="1"/>
  <c r="G9" i="12" s="1"/>
  <c r="I9" i="12" l="1"/>
  <c r="J9" i="12" s="1"/>
  <c r="H10" i="10" s="1"/>
  <c r="H22" i="10" s="1"/>
  <c r="J19" i="12" l="1"/>
  <c r="D7" i="10"/>
  <c r="D6" i="10"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Donatich</author>
  </authors>
  <commentList>
    <comment ref="A32" authorId="0" shapeId="0" xr:uid="{1B3BCF2D-531C-4447-B745-217A94C5A1E9}">
      <text>
        <r>
          <rPr>
            <b/>
            <sz val="9"/>
            <color indexed="81"/>
            <rFont val="Tahoma"/>
            <family val="2"/>
          </rPr>
          <t>Note:</t>
        </r>
        <r>
          <rPr>
            <sz val="9"/>
            <color indexed="81"/>
            <rFont val="Tahoma"/>
            <family val="2"/>
          </rPr>
          <t xml:space="preserve"> Add additional length from any additional project workbook(s) if more than one workbook is used.</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<sst xmlns="http://schemas.openxmlformats.org/spreadsheetml/2006/main" count="1415" uniqueCount="404">
  <si>
    <t>Bank Height Ratio (BHR)</t>
  </si>
  <si>
    <t>Functional Category</t>
  </si>
  <si>
    <t>Hydraulics</t>
  </si>
  <si>
    <t>Floodplain Connectivity</t>
  </si>
  <si>
    <t>C</t>
  </si>
  <si>
    <t>E</t>
  </si>
  <si>
    <t>B</t>
  </si>
  <si>
    <t>Bc</t>
  </si>
  <si>
    <t>Field Value</t>
  </si>
  <si>
    <t>Index Value</t>
  </si>
  <si>
    <t>Parameter</t>
  </si>
  <si>
    <t>Category</t>
  </si>
  <si>
    <t>A</t>
  </si>
  <si>
    <t>LWD Index</t>
  </si>
  <si>
    <t>Geomorphology</t>
  </si>
  <si>
    <t>Large Woody Debris</t>
  </si>
  <si>
    <t>L/L</t>
  </si>
  <si>
    <t>L/M</t>
  </si>
  <si>
    <t>L/H</t>
  </si>
  <si>
    <t>L/VH</t>
  </si>
  <si>
    <t>M/VL</t>
  </si>
  <si>
    <t>M/L</t>
  </si>
  <si>
    <t>M/M</t>
  </si>
  <si>
    <t>M/H</t>
  </si>
  <si>
    <t>L/Ex</t>
  </si>
  <si>
    <t>H/L</t>
  </si>
  <si>
    <t>H/M</t>
  </si>
  <si>
    <t>H/H</t>
  </si>
  <si>
    <t>VH/VL</t>
  </si>
  <si>
    <t>Ex/VL</t>
  </si>
  <si>
    <t>H/Ex</t>
  </si>
  <si>
    <t>Ex/M</t>
  </si>
  <si>
    <t>Ex/H</t>
  </si>
  <si>
    <t>Ex/VH</t>
  </si>
  <si>
    <t>VH/VH</t>
  </si>
  <si>
    <t>Ex/Ex</t>
  </si>
  <si>
    <t>Dominant BEHI/NBS</t>
  </si>
  <si>
    <t>Riparian Vegetation</t>
  </si>
  <si>
    <t>Bed Form Diversity</t>
  </si>
  <si>
    <t>EXISTING CONDITION ASSESSMENT</t>
  </si>
  <si>
    <t>Physicochemical</t>
  </si>
  <si>
    <t>Biology</t>
  </si>
  <si>
    <t>Hydrology</t>
  </si>
  <si>
    <t>Yes</t>
  </si>
  <si>
    <t>No</t>
  </si>
  <si>
    <t>Fish</t>
  </si>
  <si>
    <t>F</t>
  </si>
  <si>
    <t>G</t>
  </si>
  <si>
    <t>Percent Streambank Erosion (%)</t>
  </si>
  <si>
    <t>Gc</t>
  </si>
  <si>
    <t>M/Ex</t>
  </si>
  <si>
    <t>M/VH</t>
  </si>
  <si>
    <t>H/VL</t>
  </si>
  <si>
    <t>H/VH</t>
  </si>
  <si>
    <t>VH/L</t>
  </si>
  <si>
    <t>VH/M</t>
  </si>
  <si>
    <t>VH/H</t>
  </si>
  <si>
    <t>VH/Ex</t>
  </si>
  <si>
    <t>Ex/L</t>
  </si>
  <si>
    <t>Reach ID:</t>
  </si>
  <si>
    <t>Existing Stream Type:</t>
  </si>
  <si>
    <t>a</t>
  </si>
  <si>
    <t>b</t>
  </si>
  <si>
    <t>NF</t>
  </si>
  <si>
    <t>NF &amp; FAR</t>
  </si>
  <si>
    <t>Reach Runoff</t>
  </si>
  <si>
    <t>BEHI/NBS Scores</t>
  </si>
  <si>
    <t>Yes/No</t>
  </si>
  <si>
    <t>Coefficients - Y = a * X + b</t>
  </si>
  <si>
    <t>Coefficients - Y = a * X^2 + b * X + c</t>
  </si>
  <si>
    <t>FAR</t>
  </si>
  <si>
    <t>Rising Limb</t>
  </si>
  <si>
    <t>Falling Limb</t>
  </si>
  <si>
    <t>Valley Type:</t>
  </si>
  <si>
    <t>Valley Type</t>
  </si>
  <si>
    <t>Unconfined Alluvial</t>
  </si>
  <si>
    <t>Confined Alluvial</t>
  </si>
  <si>
    <t>Colluvial</t>
  </si>
  <si>
    <t>Contributing Agencies:</t>
  </si>
  <si>
    <t>Contractors:</t>
  </si>
  <si>
    <t>Percent Riffle (%)</t>
  </si>
  <si>
    <t>Macroinvertebrates</t>
  </si>
  <si>
    <t>ECS</t>
  </si>
  <si>
    <t>Tier 0</t>
  </si>
  <si>
    <t>Impact Severity Tiers</t>
  </si>
  <si>
    <t>Percent Functional Loss</t>
  </si>
  <si>
    <t>Tier 1</t>
  </si>
  <si>
    <t>Tier 2</t>
  </si>
  <si>
    <t>Tier 3</t>
  </si>
  <si>
    <t>Tier 4</t>
  </si>
  <si>
    <t>Tier 5</t>
  </si>
  <si>
    <t xml:space="preserve">Coefficients - Y = a * X + b </t>
  </si>
  <si>
    <t>Lateral Migration</t>
  </si>
  <si>
    <t>Existing Stream Length</t>
  </si>
  <si>
    <t>Reference Stream Type:</t>
  </si>
  <si>
    <t>Upstream Latitude:</t>
  </si>
  <si>
    <t>Upstream Longitude:</t>
  </si>
  <si>
    <t>Downstream Latitude:</t>
  </si>
  <si>
    <t>Downstream Longitude:</t>
  </si>
  <si>
    <t>Project Name</t>
  </si>
  <si>
    <t>Applicant</t>
  </si>
  <si>
    <t>Date</t>
  </si>
  <si>
    <t>Project Description</t>
  </si>
  <si>
    <t>Temperature</t>
  </si>
  <si>
    <t>VL/VL</t>
  </si>
  <si>
    <t>VL/L</t>
  </si>
  <si>
    <t>VL/M</t>
  </si>
  <si>
    <t>VL/H</t>
  </si>
  <si>
    <t>VL/VH</t>
  </si>
  <si>
    <t>VL/Ex</t>
  </si>
  <si>
    <t>Coefficients - Y = a  * X + b</t>
  </si>
  <si>
    <t>Debit Option</t>
  </si>
  <si>
    <t>Name:</t>
  </si>
  <si>
    <t>Date:</t>
  </si>
  <si>
    <t>Existing Reach ID</t>
  </si>
  <si>
    <t>Description (Impacts to function-based parameters)</t>
  </si>
  <si>
    <t>Lead Agency:</t>
  </si>
  <si>
    <t>US Forest Service</t>
  </si>
  <si>
    <t>US Army Corps of Engineers</t>
  </si>
  <si>
    <t>US Environmental Protection Agency, Region 5</t>
  </si>
  <si>
    <t>US Fish and Wildlife Service</t>
  </si>
  <si>
    <t xml:space="preserve">Stream Mechanics </t>
  </si>
  <si>
    <t xml:space="preserve">Ecosystem Planning and Restoration (EPR) </t>
  </si>
  <si>
    <t>Land Use Change Coefficient</t>
  </si>
  <si>
    <t>Percent Streambank Armoring (%)</t>
  </si>
  <si>
    <t>Native Shrub Density</t>
  </si>
  <si>
    <t>Coldwater</t>
  </si>
  <si>
    <t>Bacteria</t>
  </si>
  <si>
    <t>Proposed Stream Length</t>
  </si>
  <si>
    <t>Flow Type 
and 
Stream Order</t>
  </si>
  <si>
    <t>Flow Type</t>
  </si>
  <si>
    <t>Perennial</t>
  </si>
  <si>
    <t>Intermittent</t>
  </si>
  <si>
    <t>Ephemeral</t>
  </si>
  <si>
    <t>Strahler Stream order</t>
  </si>
  <si>
    <t>4+</t>
  </si>
  <si>
    <t>Watershed Condition</t>
  </si>
  <si>
    <t>Poor</t>
  </si>
  <si>
    <t>Fair</t>
  </si>
  <si>
    <t>Good</t>
  </si>
  <si>
    <t>Reach and Impact Description</t>
  </si>
  <si>
    <t>Flow 
Type</t>
  </si>
  <si>
    <t>Insert Aerial Photo of Project Area</t>
  </si>
  <si>
    <t>Concentrated Flow Points (#/1000 LF)</t>
  </si>
  <si>
    <t>Buffer Width (ft)</t>
  </si>
  <si>
    <t>Native Herbaceous Cover (%)</t>
  </si>
  <si>
    <t>Ecoregion:</t>
  </si>
  <si>
    <t>Stream Temperature:</t>
  </si>
  <si>
    <t>Flow Type:</t>
  </si>
  <si>
    <t>Wadeable/Non-wadeable</t>
  </si>
  <si>
    <t>Wadeable</t>
  </si>
  <si>
    <t>Non-wadeable</t>
  </si>
  <si>
    <t>Impact Severity Tier:</t>
  </si>
  <si>
    <t>HYDROLOGY</t>
  </si>
  <si>
    <t>HYDRAULICS</t>
  </si>
  <si>
    <t>GEOMORPHOLOGY</t>
  </si>
  <si>
    <t>PHYSICOCHEMICAL</t>
  </si>
  <si>
    <t>BIOLOGY</t>
  </si>
  <si>
    <t>Concentrated Flow Points</t>
  </si>
  <si>
    <t>Average DBH (in)</t>
  </si>
  <si>
    <t>Functional loss is estimated using the Impact Severity Tier.</t>
  </si>
  <si>
    <t>Existing Condition Score (ECS)</t>
  </si>
  <si>
    <t>Proposed Condition Score (PCS)</t>
  </si>
  <si>
    <t>Impact Severity 
Tier</t>
  </si>
  <si>
    <t>PCS</t>
  </si>
  <si>
    <t>Metric</t>
  </si>
  <si>
    <t>Function-Based Parameter</t>
  </si>
  <si>
    <t>South Carolina Department of Natural Resources</t>
  </si>
  <si>
    <t>South Carolina Department of Health and Environmental Control</t>
  </si>
  <si>
    <t>South Carolina Forestry Commission</t>
  </si>
  <si>
    <t>Natural Resources Conservation Service</t>
  </si>
  <si>
    <t>National Marine Fisheries Service</t>
  </si>
  <si>
    <t>Primary</t>
  </si>
  <si>
    <t>Secondary</t>
  </si>
  <si>
    <t>Tertiary</t>
  </si>
  <si>
    <t>Tier 6</t>
  </si>
  <si>
    <t>Reach Summary</t>
  </si>
  <si>
    <t>Priority Category</t>
  </si>
  <si>
    <t>Parameter and Metric Selection</t>
  </si>
  <si>
    <t>Metrics</t>
  </si>
  <si>
    <t>Metric Selection Instruction &amp; Applicability</t>
  </si>
  <si>
    <t>Land Use Coefficient</t>
  </si>
  <si>
    <t>Bank Height Ratio (ft/ft)</t>
  </si>
  <si>
    <t>Entrenchment Ratio (ft/ft)</t>
  </si>
  <si>
    <t>Flow Dynamics</t>
  </si>
  <si>
    <t>Width/Depth Ratio State (O/E)</t>
  </si>
  <si>
    <t>LWD Piece Count (#/100m)</t>
  </si>
  <si>
    <t>Erosion Rate (ft/yr)</t>
  </si>
  <si>
    <t>Tree Density (#/acre)</t>
  </si>
  <si>
    <t>Native Shrub Density (#/acre)</t>
  </si>
  <si>
    <t>Monoculture Area (%)</t>
  </si>
  <si>
    <t>Invasive/Non-native Cover (%)</t>
  </si>
  <si>
    <t>Pool Spacing Ratio (ft/ft)</t>
  </si>
  <si>
    <t>Pool Depth Ratio (ft/ft)</t>
  </si>
  <si>
    <t>Percent Riffle (ft/ft)</t>
  </si>
  <si>
    <t>Summer Daily Maximum (°F)</t>
  </si>
  <si>
    <t>Nitrogen</t>
  </si>
  <si>
    <t>Total Nitrogen (mg/L)</t>
  </si>
  <si>
    <t>Phosphorus</t>
  </si>
  <si>
    <t>Total Phosphorus (mg/L)</t>
  </si>
  <si>
    <t>EPT Taxa Present</t>
  </si>
  <si>
    <t>Priority Category:</t>
  </si>
  <si>
    <t>Ba</t>
  </si>
  <si>
    <t>Cb</t>
  </si>
  <si>
    <t>Eb</t>
  </si>
  <si>
    <t>Fb</t>
  </si>
  <si>
    <t>D</t>
  </si>
  <si>
    <t>DA</t>
  </si>
  <si>
    <t>L/VL</t>
  </si>
  <si>
    <t>Blue Ridge Mountains</t>
  </si>
  <si>
    <t>Piedmont</t>
  </si>
  <si>
    <t>Southeastern Plains</t>
  </si>
  <si>
    <t>Warmwater</t>
  </si>
  <si>
    <t>Canopy Cover</t>
  </si>
  <si>
    <t>&gt; 20 %</t>
  </si>
  <si>
    <t>&lt; 20 %</t>
  </si>
  <si>
    <t>Valley Slope</t>
  </si>
  <si>
    <t>&lt; 5 %</t>
  </si>
  <si>
    <t>5 - 20 %</t>
  </si>
  <si>
    <t>21 - 40 %</t>
  </si>
  <si>
    <t>&gt; 40 %</t>
  </si>
  <si>
    <t>Buffer Land Use</t>
  </si>
  <si>
    <t>Single Family Residential</t>
  </si>
  <si>
    <t>Multi-Family Residential</t>
  </si>
  <si>
    <t>Commercial / Golf Course / Agriculture / Silviculture</t>
  </si>
  <si>
    <t>Industrial / Landfill</t>
  </si>
  <si>
    <t>River Basin:</t>
  </si>
  <si>
    <t>Broad</t>
  </si>
  <si>
    <t>Catawba</t>
  </si>
  <si>
    <t>Saluda</t>
  </si>
  <si>
    <t>Edisto</t>
  </si>
  <si>
    <t>Salkehatchie</t>
  </si>
  <si>
    <t>Santee</t>
  </si>
  <si>
    <t>Pee Dee</t>
  </si>
  <si>
    <t>Savannah</t>
  </si>
  <si>
    <t>Summer Daily Maximum  (°F)</t>
  </si>
  <si>
    <t>Buffer Valley Slope (%):</t>
  </si>
  <si>
    <t>Dominant Buffer Land Use:</t>
  </si>
  <si>
    <t>Notes</t>
  </si>
  <si>
    <t>2. Users select values from a pull-down menu</t>
  </si>
  <si>
    <t xml:space="preserve">Coefficients - Y = a * X+ b </t>
  </si>
  <si>
    <t>Entrenchment Ratio (ER) C Streams</t>
  </si>
  <si>
    <t>Entrenchment Ratio (ER) E Streams</t>
  </si>
  <si>
    <t>Entrenchment Ratio (ER) B Streams</t>
  </si>
  <si>
    <t>Width/Depth Ratio State</t>
  </si>
  <si>
    <t>Rising limb</t>
  </si>
  <si>
    <t>Buffer Width - Single Family Residential</t>
  </si>
  <si>
    <t xml:space="preserve">Buffer slope &lt; 5% </t>
  </si>
  <si>
    <t>Buffer slope  5 - 20%</t>
  </si>
  <si>
    <t xml:space="preserve">Buffer slope 21 - 40% </t>
  </si>
  <si>
    <t xml:space="preserve">Buffer slope &gt; 40% </t>
  </si>
  <si>
    <t>Buffer Width - Multi-Family Residential</t>
  </si>
  <si>
    <t>Buffer Width - Commercial / Golf Course / Agriculture / Silviculture</t>
  </si>
  <si>
    <t xml:space="preserve">Buffer slope &lt; 5% OR 5 - 20% </t>
  </si>
  <si>
    <t xml:space="preserve">Buffer slope 21-40% </t>
  </si>
  <si>
    <t xml:space="preserve">Buffer slope &gt;40% </t>
  </si>
  <si>
    <t>Buffer Width - Industrial / Landfill</t>
  </si>
  <si>
    <t>Average Diameter at Breast Height (DBH)</t>
  </si>
  <si>
    <t>Tree Density</t>
  </si>
  <si>
    <t>Native Herbaceous Cover</t>
  </si>
  <si>
    <t>Pool Spacing Ratio for A and B Stream Types</t>
  </si>
  <si>
    <t>FAR/NF</t>
  </si>
  <si>
    <t>Pool Spacing Ratio for Bc Stream Types</t>
  </si>
  <si>
    <t>Pool Spacing Ratio for C and E Stream Types</t>
  </si>
  <si>
    <t>Pool Depth Ratio for A streams</t>
  </si>
  <si>
    <t>Pool Depth Ratio for B streams</t>
  </si>
  <si>
    <t>Pool Depth Ratio for C streams</t>
  </si>
  <si>
    <t>Y = a * X + b</t>
  </si>
  <si>
    <t>Pool Depth Ratio for E streams</t>
  </si>
  <si>
    <t>Percent Riffle for A streams</t>
  </si>
  <si>
    <t>Field &lt; 54</t>
  </si>
  <si>
    <t>Field &gt; 62</t>
  </si>
  <si>
    <t>Percent Riffle for B streams</t>
  </si>
  <si>
    <t>Field &lt; 53</t>
  </si>
  <si>
    <t>Field &gt; 61</t>
  </si>
  <si>
    <t>Percent Riffle for C streams</t>
  </si>
  <si>
    <t>Field &lt; 45</t>
  </si>
  <si>
    <t>Field &gt; 65</t>
  </si>
  <si>
    <t>Percent Riffle for E streams</t>
  </si>
  <si>
    <t>Field &lt; 43</t>
  </si>
  <si>
    <t>Field &gt; 63</t>
  </si>
  <si>
    <t>Summer Daily Maximum</t>
  </si>
  <si>
    <t>Total Nitrogen</t>
  </si>
  <si>
    <t>NF/FAR</t>
  </si>
  <si>
    <t>Total Phosphorous</t>
  </si>
  <si>
    <t xml:space="preserve">Coefficients - </t>
  </si>
  <si>
    <t>FAR/F</t>
  </si>
  <si>
    <t>This sheet provides the equations used to calculate index values from the field values entered on the Existing Conditions worksheet.  The equations are the same equations presented in the SC SQT. Equations are of the form: Y= aX + b, where Y is the index value and X is the field value.</t>
  </si>
  <si>
    <t>Total and permanent loss of all aquatic functions.</t>
  </si>
  <si>
    <t>Severe impacts to all aquatic functions except for hydrology.</t>
  </si>
  <si>
    <t>2a</t>
  </si>
  <si>
    <t>2b</t>
  </si>
  <si>
    <t>Stream Type</t>
  </si>
  <si>
    <t>Adverse Impact Adjustment Factors</t>
  </si>
  <si>
    <t>Duration of Impact</t>
  </si>
  <si>
    <t>Temporary</t>
  </si>
  <si>
    <t>Recurrent</t>
  </si>
  <si>
    <t>Permanent</t>
  </si>
  <si>
    <t>Existing Stream Length (LF)</t>
  </si>
  <si>
    <t>Sum of R Factors</t>
  </si>
  <si>
    <t>Impact Duration</t>
  </si>
  <si>
    <t>Last Updated:</t>
  </si>
  <si>
    <t>Total Debits (FF)</t>
  </si>
  <si>
    <t>The SC SQT Debit Calculator Tool credits:</t>
  </si>
  <si>
    <t xml:space="preserve">Project ID / Permit 
Applicant Number(s):    </t>
  </si>
  <si>
    <r>
      <t xml:space="preserve">Project ID / Permit Number(s) </t>
    </r>
    <r>
      <rPr>
        <b/>
        <sz val="11"/>
        <color theme="1"/>
        <rFont val="Calibri"/>
        <family val="2"/>
        <scheme val="minor"/>
      </rPr>
      <t>(optional)</t>
    </r>
  </si>
  <si>
    <t>Impact Factor Multiplier</t>
  </si>
  <si>
    <t>Impact Duration                           R Factor</t>
  </si>
  <si>
    <t>Cumulative Impact R Factor</t>
  </si>
  <si>
    <t>Additional Existing Project Length (ft)</t>
  </si>
  <si>
    <t>Total Existing Project Length (ft)</t>
  </si>
  <si>
    <t>1. Users input values</t>
  </si>
  <si>
    <t>3. Values are automatically calculated</t>
  </si>
  <si>
    <r>
      <t>Native shrub density</t>
    </r>
    <r>
      <rPr>
        <sz val="12"/>
        <color theme="1"/>
        <rFont val="Calibri"/>
        <family val="2"/>
        <scheme val="minor"/>
      </rPr>
      <t xml:space="preserve"> is measured when canopy cover is less than 20%.</t>
    </r>
  </si>
  <si>
    <t>Reach ID</t>
  </si>
  <si>
    <t>Debit         Option</t>
  </si>
  <si>
    <t xml:space="preserve">Debit Option: </t>
  </si>
  <si>
    <t>Standard Score</t>
  </si>
  <si>
    <t>Total Functional Loss (-ΔFF)</t>
  </si>
  <si>
    <r>
      <t>*</t>
    </r>
    <r>
      <rPr>
        <b/>
        <sz val="11"/>
        <color theme="1"/>
        <rFont val="Calibri"/>
        <family val="2"/>
        <scheme val="minor"/>
      </rPr>
      <t>Option 2a</t>
    </r>
    <r>
      <rPr>
        <sz val="11"/>
        <color theme="1"/>
        <rFont val="Calibri"/>
        <family val="2"/>
        <scheme val="minor"/>
      </rPr>
      <t>: Assess and input data collected for the following parameters: reach runoff,</t>
    </r>
    <r>
      <rPr>
        <b/>
        <sz val="11"/>
        <color theme="1"/>
        <rFont val="Calibri"/>
        <family val="2"/>
        <scheme val="minor"/>
      </rPr>
      <t xml:space="preserve"> </t>
    </r>
    <r>
      <rPr>
        <sz val="11"/>
        <color theme="1"/>
        <rFont val="Calibri"/>
        <family val="2"/>
        <scheme val="minor"/>
      </rPr>
      <t>floodplain connectivity, flow dyn</t>
    </r>
    <r>
      <rPr>
        <sz val="11"/>
        <rFont val="Calibri"/>
        <family val="2"/>
        <scheme val="minor"/>
      </rPr>
      <t>amics, lateral migration</t>
    </r>
    <r>
      <rPr>
        <sz val="11"/>
        <color theme="1"/>
        <rFont val="Calibri"/>
        <family val="2"/>
        <scheme val="minor"/>
      </rPr>
      <t>, and large woody debris. ECS standard scores are assumed for all other parameters.</t>
    </r>
  </si>
  <si>
    <r>
      <t>**</t>
    </r>
    <r>
      <rPr>
        <b/>
        <sz val="11"/>
        <color theme="1"/>
        <rFont val="Calibri"/>
        <family val="2"/>
        <scheme val="minor"/>
      </rPr>
      <t>Option 2b:</t>
    </r>
    <r>
      <rPr>
        <sz val="11"/>
        <color theme="1"/>
        <rFont val="Calibri"/>
        <family val="2"/>
        <scheme val="minor"/>
      </rPr>
      <t xml:space="preserve"> Assess and input data collected for the following parameters: runoff, floodplain connectivity, flow dynamics, lateral migration, large woody debris, bed form diversity, and riparian vegetation. ECS standard scores are assumed for all other parameters.</t>
    </r>
  </si>
  <si>
    <t>Parameter measured for debit options 2a, 2b, and 3.</t>
  </si>
  <si>
    <t>Parameter measured for debit options 2a, 2b, and 3 when applicable.</t>
  </si>
  <si>
    <t>Parameter measured for debit options 2b and 3 when applicable.</t>
  </si>
  <si>
    <t>Parameter measured for debit option 3 when applicable.</t>
  </si>
  <si>
    <t>Parameter Measurement based on Debit Option</t>
  </si>
  <si>
    <t>Both metrics are evaluated together for all streams systems.</t>
  </si>
  <si>
    <t>Buffer width, average DBH, and tree density are applicable to all stream systems.</t>
  </si>
  <si>
    <t>Native herbaceous cover is only applicable to projects with a Piedmont prairie vegetation community.</t>
  </si>
  <si>
    <t>Debits
 (FF)</t>
  </si>
  <si>
    <r>
      <t xml:space="preserve">NOTICE: </t>
    </r>
    <r>
      <rPr>
        <sz val="11"/>
        <color rgb="FF000000"/>
        <rFont val="Calibri"/>
        <family val="2"/>
        <scheme val="minor"/>
      </rPr>
      <t xml:space="preserve">If you find errors or problems, please contact </t>
    </r>
    <r>
      <rPr>
        <b/>
        <u/>
        <sz val="11"/>
        <color rgb="FF000000"/>
        <rFont val="Calibri"/>
        <family val="2"/>
        <scheme val="minor"/>
      </rPr>
      <t>sac.rd.charleston@usace.army.mil</t>
    </r>
    <r>
      <rPr>
        <sz val="11"/>
        <color rgb="FF000000"/>
        <rFont val="Calibri"/>
        <family val="2"/>
        <scheme val="minor"/>
      </rPr>
      <t xml:space="preserve"> with the subject line: Mitigation Debit Calculator</t>
    </r>
  </si>
  <si>
    <t>FUNCTIONAL LOSS SUMMARY</t>
  </si>
  <si>
    <t>Debit Option Summary</t>
  </si>
  <si>
    <t>Existing Condition Standard Scores                                               (for debit options 1, 2a, and 2b)</t>
  </si>
  <si>
    <t>Impact Severity Tier Summary</t>
  </si>
  <si>
    <t>No assessment – Assume standard scores for parameters in all five functional categories.</t>
  </si>
  <si>
    <t>Partial Assessment - Assess a minimum number of parameters.* Parameters that are not assessed are assigned a standard score. Use Existing Conditions worksheet.</t>
  </si>
  <si>
    <t>Full Assessment - Assess all applicable parameters.*** Standard scores are not assumed. Use Existing Conditions worksheet.</t>
  </si>
  <si>
    <r>
      <t>***</t>
    </r>
    <r>
      <rPr>
        <b/>
        <sz val="11"/>
        <color theme="1"/>
        <rFont val="Calibri"/>
        <family val="2"/>
        <scheme val="minor"/>
      </rPr>
      <t>Option 3:</t>
    </r>
    <r>
      <rPr>
        <sz val="11"/>
        <color theme="1"/>
        <rFont val="Calibri"/>
        <family val="2"/>
        <scheme val="minor"/>
      </rPr>
      <t xml:space="preserve"> Assess and input data collected for all applicable parameters within all five functional categories. No ECS standard scores are assumed.</t>
    </r>
  </si>
  <si>
    <t>No permanent impacts to aquatic functions; impacts do not require compensatory mitigation.</t>
  </si>
  <si>
    <t xml:space="preserve">Minor impacts, primarily to reach runoff, flow dynamics, riparian vegetation, lateral migration, and some physicochemical and/or biological functions. </t>
  </si>
  <si>
    <t>Minor impacts to reach runoff. 
Minor to moderate impacts to bed form diversity, flow dynamics, and large woody debris. 
Typically accompanied by moderate to severe impacts to riparian vegetation and lateral migration.
Minor impacts to some physicochemical and/or biological functions.</t>
  </si>
  <si>
    <t>Moderate impacts to reach runoff, bed form diversity, and riparian vegetation. 
Severe impacts to floodplain connectivity. Moderate to severe impacts to flow dynamics and large woody debris. 
Minor to moderate impacts to some physicochemical and biology functions.</t>
  </si>
  <si>
    <t>Moderate to severe impacts to most hydraulic and geomorphologic functions. Moderate impacts to physicochemical and biology functions.</t>
  </si>
  <si>
    <r>
      <t>*NOTE: This table populates from the Existing Co</t>
    </r>
    <r>
      <rPr>
        <sz val="11"/>
        <rFont val="Calibri"/>
        <family val="2"/>
        <scheme val="minor"/>
      </rPr>
      <t>nditions spread</t>
    </r>
    <r>
      <rPr>
        <sz val="11"/>
        <color theme="1"/>
        <rFont val="Calibri"/>
        <family val="2"/>
        <scheme val="minor"/>
      </rPr>
      <t>sheet.</t>
    </r>
  </si>
  <si>
    <r>
      <t xml:space="preserve">This worksheet applies to debit options 2a, 2b, or 3, where the applicant elects to measure the existing condition. Users will measure some set of parameters for debit options 2a, 2b, and 3; </t>
    </r>
    <r>
      <rPr>
        <i/>
        <sz val="12"/>
        <rFont val="Calibri"/>
        <family val="2"/>
        <scheme val="minor"/>
      </rPr>
      <t>parameters not measured will assume a standard score for the existing condition.</t>
    </r>
    <r>
      <rPr>
        <sz val="12"/>
        <rFont val="Calibri"/>
        <family val="2"/>
        <scheme val="minor"/>
      </rPr>
      <t xml:space="preserve"> Additionally, note that parameters and associated metrics are only measured when applicable to the stream system. Instruction for metric applicability is provided below. </t>
    </r>
  </si>
  <si>
    <t>Canopy Cover (%):</t>
  </si>
  <si>
    <t>Measure either LWDI or LWD piece count, not both, for all stream systems.</t>
  </si>
  <si>
    <t>Roll-Up Scoring</t>
  </si>
  <si>
    <t>Functional Loss (-ΔFF)</t>
  </si>
  <si>
    <r>
      <t>Functional Loss (-</t>
    </r>
    <r>
      <rPr>
        <b/>
        <sz val="11"/>
        <color theme="1"/>
        <rFont val="Grotesque"/>
        <family val="2"/>
      </rPr>
      <t>Δ</t>
    </r>
    <r>
      <rPr>
        <b/>
        <sz val="11"/>
        <color theme="1"/>
        <rFont val="Calibri"/>
        <family val="2"/>
      </rPr>
      <t>FF)</t>
    </r>
  </si>
  <si>
    <t xml:space="preserve">Monoculture area is applicable when a monoculture (e.g., silviculture) is present or proposed in the project area. </t>
  </si>
  <si>
    <t xml:space="preserve">Functional Loss                  (-ΔFF) </t>
  </si>
  <si>
    <t>Stream Type                      R Factor</t>
  </si>
  <si>
    <t>Existing Condition Score Summary
(for debit options 2a, 2b, and 3)</t>
  </si>
  <si>
    <t>Fish Bioassessment Class:</t>
  </si>
  <si>
    <t>Fish Bioassessment Class</t>
  </si>
  <si>
    <t>1 - Upland Santee/Pee-Dee Basin</t>
  </si>
  <si>
    <t>2 - Upland Savannah</t>
  </si>
  <si>
    <t>3 - Lowland Perennial</t>
  </si>
  <si>
    <t>SC BI Score - Bioassessment Class 1</t>
  </si>
  <si>
    <t>SC BI Score - Bioassessment Class 2</t>
  </si>
  <si>
    <t>SC BI Score - Bioassessment Class 3</t>
  </si>
  <si>
    <t>SC BI Score - Bioassessment Class 4</t>
  </si>
  <si>
    <t>4 - Lowland Stable Baseflow</t>
  </si>
  <si>
    <t>E.Coli</t>
  </si>
  <si>
    <t>TSS and Turbidity</t>
  </si>
  <si>
    <t>EPT Taxa Present - Blue Ridge Mountains</t>
  </si>
  <si>
    <t>EPT Taxa Present - Piedmont</t>
  </si>
  <si>
    <t>EPT Taxa Present - Southeastern Plains and Middle Atlantic Coastal Plain</t>
  </si>
  <si>
    <t>E. Coli (MPN/100 ml)</t>
  </si>
  <si>
    <t>Suspended Sediment</t>
  </si>
  <si>
    <t>Total Suspended Solids (TSS)</t>
  </si>
  <si>
    <t>Turbidity (NTU)</t>
  </si>
  <si>
    <t>South Carolina Biotic Index</t>
  </si>
  <si>
    <t>Middle Atlantic Coastal Plain</t>
  </si>
  <si>
    <t>Stream Types</t>
  </si>
  <si>
    <t>Calculated threshold Field Value from trendline</t>
  </si>
  <si>
    <t>SC SQT Debit Calculator Tool v1.1</t>
  </si>
  <si>
    <t>Partial Assessment - Assess some, but not all, parameters.** Parameters that are not assessed are assigned a standard score. Use Existing Conditions worksheet.</t>
  </si>
  <si>
    <t>Suspended Sediments</t>
  </si>
  <si>
    <t>Total Suspended Solids (mg/L)</t>
  </si>
  <si>
    <t>Parameters measured for debit option 3 when applicable.</t>
  </si>
  <si>
    <t>Applicable to perennial streams.</t>
  </si>
  <si>
    <t>Measure either TSS or Turbidity, not both, for perennial streams.</t>
  </si>
  <si>
    <t>Applicable to perennial streams with a drainage area of at least 3 square miles.</t>
  </si>
  <si>
    <t>Applicable to perennial streams with drainage areas between 1.5 and 63 square miles.</t>
  </si>
  <si>
    <t>Users must evaluate the dominant BEHI/NBS and percent streambank erosion metrics together. Percent streambank erosion and dominant BEHI/NBS are applicable to single-thread channels only. The erosion rate metric can be measured in substitute of dominant BEHI/NBS and percent streambank erosion. 
Percent streambank armoring is measured in addition to the other metrics when armoring is present or proposed.</t>
  </si>
  <si>
    <t>Macro- invertebrates</t>
  </si>
  <si>
    <r>
      <t>Parameter measured for debit options 2a, 2b, and 3 when applicable. Parameter is not applicable for systems naturally in disequilibrium</t>
    </r>
    <r>
      <rPr>
        <i/>
        <sz val="11"/>
        <color theme="1"/>
        <rFont val="Calibri"/>
        <family val="2"/>
        <scheme val="minor"/>
      </rPr>
      <t xml:space="preserve"> (e.g., some braided streams, ephemeral channels, and alluvial fans or other systems with naturally high rates of bank erosion). </t>
    </r>
  </si>
  <si>
    <t>SC SQT Debit Calculator Tool Version 1.1</t>
  </si>
  <si>
    <t>Strahler Stream 
Order</t>
  </si>
  <si>
    <t>Strahler Stream Order:</t>
  </si>
  <si>
    <t>Invasive/non-native cover is applicable to all projects but is not scored.</t>
  </si>
  <si>
    <t>Parameter measured for debit options 2b and 3 when applicable. Parameter is not applicable in multi-thread channels, bedrock streams, or naturally straight sand-bed channels where the bedforms are created by large wood.</t>
  </si>
  <si>
    <t>Site Information and Reference Curve Stratification</t>
  </si>
  <si>
    <t>Drainage Area (sq.mi.):</t>
  </si>
  <si>
    <t xml:space="preserve">River Basin: </t>
  </si>
  <si>
    <t>Seasonal Intermittent</t>
  </si>
  <si>
    <t>Applicable to perennial coldwater streams, and recommended for streams that are designated Trout (Natural; Put, Grow, and Take; and Put and Take).</t>
  </si>
  <si>
    <t>Bank height ratio is applicable to all stream systems. Entrenchment ratio is applicable to all single-thread, perennial, seasonal intermittent, and intermittent stream systems.</t>
  </si>
  <si>
    <t>Applicable to single-thread, perennial, seasonal intermittent, and intermittent stream systems.</t>
  </si>
  <si>
    <t>Use all three metrics together in single-thread, perennial, seasonal intermittent, and intermittent stream systems.</t>
  </si>
  <si>
    <t>Function-Based Parameters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</si>
</sst>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0000"/>
    <numFmt numFmtId="166" formatCode="0.000000"/>
    <numFmt numFmtId="167" formatCode="m/d/yy;@"/>
    <numFmt numFmtId="168" formatCode="0.0000"/>
  </numFmts>
  <fonts count="24" x14ac:knownFonts="1">
    <font>
      <sz val="11"/>
      <color theme="1"/>
      <name val="Calibri"/>
      <family val="2"/>
      <scheme val="minor"/>
    </font>
    <font>
      <b/>
      <sz val="11"/>
      <color theme="1"/>
      <name val="Calibri"/>
      <family val="2"/>
      <scheme val="minor"/>
    </font>
    <font>
      <sz val="10"/>
      <name val="Arial"/>
      <family val="2"/>
    </font>
    <font>
      <b/>
      <sz val="16"/>
      <color theme="1"/>
      <name val="Calibri"/>
      <family val="2"/>
      <scheme val="minor"/>
    </font>
    <font>
      <sz val="12"/>
      <color theme="1"/>
      <name val="Calibri"/>
      <family val="2"/>
      <scheme val="minor"/>
    </font>
    <font>
      <b/>
      <sz val="12"/>
      <color theme="1"/>
      <name val="Calibri"/>
      <family val="2"/>
      <scheme val="minor"/>
    </font>
    <font>
      <sz val="12"/>
      <name val="Calibri"/>
      <family val="2"/>
      <scheme val="minor"/>
    </font>
    <font>
      <sz val="11"/>
      <color theme="1"/>
      <name val="Calibri"/>
      <family val="2"/>
      <scheme val="minor"/>
    </font>
    <font>
      <b/>
      <sz val="14"/>
      <color theme="1"/>
      <name val="Calibri"/>
      <family val="2"/>
      <scheme val="minor"/>
    </font>
    <font>
      <sz val="11"/>
      <name val="Calibri"/>
      <family val="2"/>
      <scheme val="minor"/>
    </font>
    <font>
      <b/>
      <sz val="11"/>
      <name val="Calibri"/>
      <family val="2"/>
      <scheme val="minor"/>
    </font>
    <font>
      <sz val="10.5"/>
      <name val="Calibri"/>
      <family val="2"/>
      <scheme val="minor"/>
    </font>
    <font>
      <b/>
      <sz val="11"/>
      <color theme="1"/>
      <name val="Grotesque"/>
      <family val="2"/>
    </font>
    <font>
      <b/>
      <sz val="11"/>
      <color theme="1"/>
      <name val="Calibri"/>
      <family val="2"/>
    </font>
    <font>
      <sz val="11"/>
      <color theme="1"/>
      <name val="Arial"/>
      <family val="2"/>
    </font>
    <font>
      <b/>
      <sz val="11"/>
      <color rgb="FF000000"/>
      <name val="Calibri"/>
      <family val="2"/>
      <scheme val="minor"/>
    </font>
    <font>
      <sz val="11"/>
      <color rgb="FF000000"/>
      <name val="Calibri"/>
      <family val="2"/>
      <scheme val="minor"/>
    </font>
    <font>
      <sz val="11"/>
      <color rgb="FFFF0000"/>
      <name val="Calibri"/>
      <family val="2"/>
      <scheme val="minor"/>
    </font>
    <font>
      <sz val="8"/>
      <name val="Calibri"/>
      <family val="2"/>
      <scheme val="minor"/>
    </font>
    <font>
      <sz val="9"/>
      <color indexed="81"/>
      <name val="Tahoma"/>
      <family val="2"/>
    </font>
    <font>
      <b/>
      <sz val="9"/>
      <color indexed="81"/>
      <name val="Tahoma"/>
      <family val="2"/>
    </font>
    <font>
      <b/>
      <u/>
      <sz val="11"/>
      <color rgb="FF000000"/>
      <name val="Calibri"/>
      <family val="2"/>
      <scheme val="minor"/>
    </font>
    <font>
      <i/>
      <sz val="12"/>
      <name val="Calibri"/>
      <family val="2"/>
      <scheme val="minor"/>
    </font>
    <font>
      <i/>
      <sz val="11"/>
      <color theme="1"/>
      <name val="Calibri"/>
      <family val="2"/>
      <scheme val="minor"/>
    </font>
  </fonts>
  <fills count="14">
    <fill>
      <patternFill patternType="none"/>
    </fill>
    <fill>
      <patternFill patternType="gray125"/>
    </fill>
    <fill>
      <patternFill patternType="solid">
        <fgColor theme="0" tint="-0.249977111117893"/>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theme="4" tint="0.59999389629810485"/>
        <bgColor indexed="65"/>
      </patternFill>
    </fill>
    <fill>
      <patternFill patternType="solid">
        <fgColor theme="3" tint="0.79998168889431442"/>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0"/>
        <bgColor indexed="64"/>
      </patternFill>
    </fill>
  </fills>
  <borders count="7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right/>
      <top style="thin">
        <color indexed="64"/>
      </top>
      <bottom style="double">
        <color indexed="64"/>
      </bottom>
      <diagonal/>
    </border>
    <border>
      <left/>
      <right style="thin">
        <color indexed="64"/>
      </right>
      <top style="double">
        <color indexed="64"/>
      </top>
      <bottom/>
      <diagonal/>
    </border>
    <border>
      <left/>
      <right/>
      <top/>
      <bottom style="medium">
        <color indexed="64"/>
      </bottom>
      <diagonal/>
    </border>
    <border>
      <left style="double">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right style="double">
        <color indexed="64"/>
      </right>
      <top style="thin">
        <color indexed="64"/>
      </top>
      <bottom style="double">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style="double">
        <color indexed="64"/>
      </bottom>
      <diagonal/>
    </border>
    <border>
      <left style="double">
        <color indexed="64"/>
      </left>
      <right/>
      <top style="double">
        <color indexed="64"/>
      </top>
      <bottom style="double">
        <color indexed="64"/>
      </bottom>
      <diagonal/>
    </border>
    <border>
      <left style="double">
        <color indexed="64"/>
      </left>
      <right/>
      <top style="double">
        <color indexed="64"/>
      </top>
      <bottom/>
      <diagonal/>
    </border>
    <border>
      <left style="double">
        <color indexed="64"/>
      </left>
      <right/>
      <top/>
      <bottom/>
      <diagonal/>
    </border>
    <border>
      <left style="double">
        <color indexed="64"/>
      </left>
      <right/>
      <top/>
      <bottom style="thin">
        <color indexed="64"/>
      </bottom>
      <diagonal/>
    </border>
    <border>
      <left style="thin">
        <color indexed="64"/>
      </left>
      <right style="double">
        <color indexed="64"/>
      </right>
      <top style="thin">
        <color indexed="64"/>
      </top>
      <bottom style="double">
        <color indexed="64"/>
      </bottom>
      <diagonal/>
    </border>
    <border>
      <left style="double">
        <color indexed="64"/>
      </left>
      <right/>
      <top style="double">
        <color indexed="64"/>
      </top>
      <bottom style="thin">
        <color indexed="64"/>
      </bottom>
      <diagonal/>
    </border>
    <border>
      <left/>
      <right style="thin">
        <color indexed="64"/>
      </right>
      <top style="double">
        <color indexed="64"/>
      </top>
      <bottom style="thin">
        <color indexed="64"/>
      </bottom>
      <diagonal/>
    </border>
    <border>
      <left style="double">
        <color indexed="64"/>
      </left>
      <right/>
      <top/>
      <bottom style="double">
        <color indexed="64"/>
      </bottom>
      <diagonal/>
    </border>
    <border>
      <left/>
      <right style="thin">
        <color indexed="64"/>
      </right>
      <top/>
      <bottom style="double">
        <color indexed="64"/>
      </bottom>
      <diagonal/>
    </border>
    <border>
      <left style="thin">
        <color indexed="64"/>
      </left>
      <right style="double">
        <color indexed="64"/>
      </right>
      <top/>
      <bottom style="double">
        <color indexed="64"/>
      </bottom>
      <diagonal/>
    </border>
    <border>
      <left style="thin">
        <color indexed="64"/>
      </left>
      <right style="double">
        <color indexed="64"/>
      </right>
      <top style="double">
        <color indexed="64"/>
      </top>
      <bottom style="double">
        <color indexed="64"/>
      </bottom>
      <diagonal/>
    </border>
    <border>
      <left style="double">
        <color indexed="64"/>
      </left>
      <right style="thin">
        <color indexed="64"/>
      </right>
      <top/>
      <bottom style="double">
        <color indexed="64"/>
      </bottom>
      <diagonal/>
    </border>
    <border>
      <left style="thin">
        <color indexed="64"/>
      </left>
      <right/>
      <top style="double">
        <color indexed="64"/>
      </top>
      <bottom/>
      <diagonal/>
    </border>
    <border>
      <left/>
      <right style="double">
        <color indexed="64"/>
      </right>
      <top/>
      <bottom/>
      <diagonal/>
    </border>
    <border>
      <left style="thin">
        <color indexed="64"/>
      </left>
      <right style="thin">
        <color indexed="64"/>
      </right>
      <top style="double">
        <color indexed="64"/>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style="double">
        <color indexed="64"/>
      </top>
      <bottom/>
      <diagonal/>
    </border>
    <border>
      <left style="double">
        <color indexed="64"/>
      </left>
      <right/>
      <top style="thin">
        <color indexed="64"/>
      </top>
      <bottom/>
      <diagonal/>
    </border>
    <border>
      <left/>
      <right style="thin">
        <color indexed="64"/>
      </right>
      <top style="double">
        <color indexed="64"/>
      </top>
      <bottom style="double">
        <color indexed="64"/>
      </bottom>
      <diagonal/>
    </border>
    <border>
      <left style="thin">
        <color indexed="64"/>
      </left>
      <right style="thin">
        <color indexed="64"/>
      </right>
      <top/>
      <bottom style="double">
        <color indexed="64"/>
      </bottom>
      <diagonal/>
    </border>
    <border>
      <left/>
      <right/>
      <top/>
      <bottom style="double">
        <color indexed="64"/>
      </bottom>
      <diagonal/>
    </border>
  </borders>
  <cellStyleXfs count="4">
    <xf numFmtId="0" fontId="0" fillId="0" borderId="0"/>
    <xf numFmtId="0" fontId="2" fillId="0" borderId="0"/>
    <xf numFmtId="0" fontId="7" fillId="7" borderId="0" applyNumberFormat="0" applyBorder="0" applyAlignment="0" applyProtection="0"/>
    <xf numFmtId="9" fontId="7" fillId="0" borderId="0" applyFont="0" applyFill="0" applyBorder="0" applyAlignment="0" applyProtection="0"/>
  </cellStyleXfs>
  <cellXfs count="518">
    <xf numFmtId="0" fontId="0" fillId="0" borderId="0" xfId="0"/>
    <xf numFmtId="0" fontId="0" fillId="0" borderId="0" xfId="0" applyFill="1"/>
    <xf numFmtId="0" fontId="0" fillId="0" borderId="0" xfId="0"/>
    <xf numFmtId="0" fontId="1" fillId="0" borderId="0" xfId="0" applyFont="1"/>
    <xf numFmtId="2" fontId="0" fillId="0" borderId="0" xfId="0" applyNumberFormat="1"/>
    <xf numFmtId="0" fontId="0" fillId="0" borderId="0" xfId="0" applyBorder="1"/>
    <xf numFmtId="0" fontId="1" fillId="0" borderId="0" xfId="0" applyFont="1" applyBorder="1" applyAlignment="1"/>
    <xf numFmtId="0" fontId="5" fillId="0" borderId="1" xfId="0" applyFont="1" applyBorder="1" applyAlignment="1">
      <alignment horizontal="center"/>
    </xf>
    <xf numFmtId="2" fontId="4" fillId="5" borderId="14" xfId="0" applyNumberFormat="1" applyFont="1" applyFill="1" applyBorder="1" applyAlignment="1">
      <alignment horizontal="center"/>
    </xf>
    <xf numFmtId="0" fontId="0" fillId="0" borderId="0" xfId="0" applyAlignment="1"/>
    <xf numFmtId="0" fontId="3" fillId="0" borderId="0" xfId="0" applyFont="1" applyBorder="1" applyAlignment="1"/>
    <xf numFmtId="0" fontId="4" fillId="2" borderId="2" xfId="0" applyFont="1" applyFill="1" applyBorder="1" applyAlignment="1" applyProtection="1">
      <alignment horizontal="center"/>
      <protection locked="0"/>
    </xf>
    <xf numFmtId="0" fontId="5" fillId="0" borderId="1" xfId="0" applyFont="1" applyBorder="1" applyAlignment="1">
      <alignment horizontal="center"/>
    </xf>
    <xf numFmtId="165" fontId="0" fillId="0" borderId="0" xfId="0" applyNumberFormat="1"/>
    <xf numFmtId="0" fontId="4" fillId="2" borderId="14" xfId="0" applyFont="1" applyFill="1" applyBorder="1" applyAlignment="1" applyProtection="1">
      <alignment horizontal="center"/>
      <protection locked="0"/>
    </xf>
    <xf numFmtId="0" fontId="4" fillId="2" borderId="3" xfId="0" applyFont="1" applyFill="1" applyBorder="1" applyAlignment="1" applyProtection="1">
      <alignment horizontal="center"/>
      <protection locked="0"/>
    </xf>
    <xf numFmtId="0" fontId="4" fillId="2" borderId="12" xfId="0" applyFont="1" applyFill="1" applyBorder="1" applyAlignment="1" applyProtection="1">
      <alignment horizontal="center"/>
      <protection locked="0"/>
    </xf>
    <xf numFmtId="1" fontId="4" fillId="0" borderId="0" xfId="0" applyNumberFormat="1" applyFont="1" applyBorder="1" applyAlignment="1">
      <alignment horizontal="center"/>
    </xf>
    <xf numFmtId="0" fontId="0" fillId="0" borderId="10" xfId="0" applyBorder="1"/>
    <xf numFmtId="0" fontId="0" fillId="0" borderId="0" xfId="0" applyAlignment="1">
      <alignment horizontal="left" vertical="center"/>
    </xf>
    <xf numFmtId="0" fontId="0" fillId="0" borderId="0" xfId="2" applyFont="1" applyFill="1" applyBorder="1" applyAlignment="1">
      <alignment horizontal="center" vertical="center"/>
    </xf>
    <xf numFmtId="0" fontId="0" fillId="0" borderId="0" xfId="0" applyFill="1" applyAlignment="1">
      <alignment horizontal="center"/>
    </xf>
    <xf numFmtId="0" fontId="0" fillId="0" borderId="0" xfId="0" applyFill="1" applyBorder="1" applyAlignment="1" applyProtection="1">
      <alignment horizontal="left"/>
      <protection locked="0"/>
    </xf>
    <xf numFmtId="0" fontId="0" fillId="0" borderId="0" xfId="0" applyFill="1" applyBorder="1" applyAlignment="1" applyProtection="1">
      <alignment horizontal="center"/>
      <protection locked="0"/>
    </xf>
    <xf numFmtId="2" fontId="4" fillId="5" borderId="2" xfId="0" applyNumberFormat="1" applyFont="1" applyFill="1" applyBorder="1" applyAlignment="1">
      <alignment horizontal="center"/>
    </xf>
    <xf numFmtId="2" fontId="4" fillId="5" borderId="3" xfId="0" applyNumberFormat="1" applyFont="1" applyFill="1" applyBorder="1" applyAlignment="1">
      <alignment horizontal="center"/>
    </xf>
    <xf numFmtId="0" fontId="4" fillId="2" borderId="1" xfId="0" applyFont="1" applyFill="1" applyBorder="1" applyAlignment="1" applyProtection="1">
      <alignment horizontal="center"/>
      <protection locked="0"/>
    </xf>
    <xf numFmtId="0" fontId="0" fillId="0" borderId="0" xfId="0" applyAlignment="1">
      <alignment wrapText="1"/>
    </xf>
    <xf numFmtId="0" fontId="5" fillId="0" borderId="1" xfId="0" applyFont="1" applyBorder="1" applyAlignment="1">
      <alignment horizontal="center" wrapText="1"/>
    </xf>
    <xf numFmtId="0" fontId="9" fillId="0" borderId="0" xfId="0" applyFont="1"/>
    <xf numFmtId="0" fontId="0" fillId="0" borderId="10" xfId="0" applyBorder="1" applyAlignment="1">
      <alignment horizontal="center"/>
    </xf>
    <xf numFmtId="0" fontId="0" fillId="0" borderId="0" xfId="0" applyFont="1"/>
    <xf numFmtId="0" fontId="4" fillId="2" borderId="10" xfId="0" applyFont="1" applyFill="1" applyBorder="1" applyAlignment="1" applyProtection="1">
      <alignment horizontal="center"/>
      <protection locked="0"/>
    </xf>
    <xf numFmtId="0" fontId="0" fillId="0" borderId="0" xfId="0" applyFont="1" applyBorder="1" applyAlignment="1"/>
    <xf numFmtId="0" fontId="0" fillId="0" borderId="0" xfId="0" applyFont="1" applyBorder="1"/>
    <xf numFmtId="0" fontId="0" fillId="0" borderId="0" xfId="0" applyFont="1" applyBorder="1" applyAlignment="1">
      <alignment vertical="top" wrapText="1"/>
    </xf>
    <xf numFmtId="0" fontId="0" fillId="0" borderId="0" xfId="0" applyFont="1" applyAlignment="1">
      <alignment vertical="top" wrapText="1"/>
    </xf>
    <xf numFmtId="2" fontId="0" fillId="0" borderId="1" xfId="0" applyNumberFormat="1" applyFont="1" applyBorder="1" applyAlignment="1" applyProtection="1">
      <alignment horizontal="center"/>
    </xf>
    <xf numFmtId="0" fontId="0" fillId="0" borderId="0" xfId="0" applyFont="1" applyBorder="1" applyProtection="1"/>
    <xf numFmtId="0" fontId="0" fillId="0" borderId="0" xfId="0" applyFont="1" applyBorder="1" applyAlignment="1">
      <alignment vertical="center" wrapText="1"/>
    </xf>
    <xf numFmtId="0" fontId="0" fillId="0" borderId="0" xfId="0" applyFont="1" applyProtection="1">
      <protection locked="0"/>
    </xf>
    <xf numFmtId="0" fontId="0" fillId="0" borderId="0" xfId="0" applyFont="1" applyBorder="1" applyAlignment="1">
      <alignment horizontal="left" vertical="top" wrapText="1"/>
    </xf>
    <xf numFmtId="0" fontId="0" fillId="0" borderId="0" xfId="0" applyAlignment="1">
      <alignment horizontal="center"/>
    </xf>
    <xf numFmtId="0" fontId="0" fillId="0" borderId="0" xfId="0" applyAlignment="1">
      <alignment horizontal="center" vertical="center" wrapText="1"/>
    </xf>
    <xf numFmtId="2" fontId="0" fillId="0" borderId="0" xfId="2" applyNumberFormat="1" applyFont="1" applyFill="1" applyBorder="1" applyAlignment="1">
      <alignment horizontal="center" vertical="center"/>
    </xf>
    <xf numFmtId="0" fontId="0" fillId="10" borderId="0" xfId="0" applyFill="1" applyAlignment="1">
      <alignment horizontal="center"/>
    </xf>
    <xf numFmtId="0" fontId="0" fillId="10" borderId="0" xfId="0" applyFill="1"/>
    <xf numFmtId="0" fontId="0" fillId="10" borderId="10" xfId="0" applyFill="1" applyBorder="1"/>
    <xf numFmtId="0" fontId="0" fillId="0" borderId="0" xfId="0"/>
    <xf numFmtId="0" fontId="0" fillId="0" borderId="0" xfId="0" applyFont="1" applyBorder="1" applyAlignment="1">
      <alignment horizontal="left" vertical="center" wrapText="1"/>
    </xf>
    <xf numFmtId="0" fontId="0" fillId="2" borderId="1" xfId="0" applyFont="1" applyFill="1" applyBorder="1" applyAlignment="1" applyProtection="1">
      <alignment horizontal="center"/>
      <protection locked="0"/>
    </xf>
    <xf numFmtId="164" fontId="8" fillId="0" borderId="0" xfId="0" applyNumberFormat="1" applyFont="1" applyBorder="1" applyAlignment="1" applyProtection="1">
      <alignment horizontal="center" vertical="center"/>
    </xf>
    <xf numFmtId="0" fontId="0" fillId="0" borderId="0" xfId="0" applyFont="1" applyBorder="1" applyAlignment="1">
      <alignment horizontal="center" vertical="center" wrapText="1"/>
    </xf>
    <xf numFmtId="0" fontId="0" fillId="0" borderId="0" xfId="0" applyFont="1" applyBorder="1" applyAlignment="1">
      <alignment vertical="center"/>
    </xf>
    <xf numFmtId="0" fontId="0" fillId="0" borderId="17" xfId="0" applyBorder="1" applyAlignment="1">
      <alignment horizontal="center"/>
    </xf>
    <xf numFmtId="0" fontId="0" fillId="0" borderId="13" xfId="0" applyFont="1" applyBorder="1" applyAlignment="1" applyProtection="1">
      <alignment horizontal="center" vertical="center" wrapText="1"/>
    </xf>
    <xf numFmtId="0" fontId="4" fillId="6" borderId="12" xfId="0" applyFont="1" applyFill="1" applyBorder="1"/>
    <xf numFmtId="0" fontId="4" fillId="6" borderId="11" xfId="0" applyFont="1" applyFill="1" applyBorder="1"/>
    <xf numFmtId="0" fontId="4" fillId="2" borderId="7" xfId="0" applyFont="1" applyFill="1" applyBorder="1" applyAlignment="1" applyProtection="1">
      <alignment horizontal="center"/>
      <protection locked="0"/>
    </xf>
    <xf numFmtId="0" fontId="4" fillId="0" borderId="4" xfId="0" applyFont="1" applyBorder="1" applyAlignment="1">
      <alignment vertical="center"/>
    </xf>
    <xf numFmtId="2" fontId="4" fillId="4" borderId="0" xfId="0" applyNumberFormat="1" applyFont="1" applyFill="1" applyAlignment="1">
      <alignment horizontal="center"/>
    </xf>
    <xf numFmtId="0" fontId="1" fillId="0" borderId="0" xfId="0" applyFont="1" applyFill="1"/>
    <xf numFmtId="0" fontId="0" fillId="0" borderId="10" xfId="0" applyFill="1" applyBorder="1"/>
    <xf numFmtId="0" fontId="0" fillId="10" borderId="0" xfId="0" applyFill="1" applyAlignment="1"/>
    <xf numFmtId="0" fontId="0" fillId="0" borderId="0" xfId="0" applyFill="1" applyAlignment="1">
      <alignment vertical="center"/>
    </xf>
    <xf numFmtId="0" fontId="0" fillId="0" borderId="10" xfId="0" applyFill="1" applyBorder="1" applyAlignment="1">
      <alignment vertical="center"/>
    </xf>
    <xf numFmtId="165" fontId="0" fillId="10" borderId="0" xfId="0" applyNumberFormat="1" applyFill="1"/>
    <xf numFmtId="0" fontId="0" fillId="0" borderId="0" xfId="0" applyFont="1" applyFill="1" applyBorder="1"/>
    <xf numFmtId="0" fontId="0" fillId="0" borderId="0" xfId="0" applyFont="1" applyFill="1" applyBorder="1" applyAlignment="1">
      <alignment vertical="top" wrapText="1"/>
    </xf>
    <xf numFmtId="0" fontId="0" fillId="0" borderId="0" xfId="0" applyFont="1" applyFill="1" applyBorder="1" applyAlignment="1">
      <alignment vertical="center" wrapText="1"/>
    </xf>
    <xf numFmtId="0" fontId="1" fillId="0" borderId="1" xfId="0" applyFont="1" applyBorder="1" applyAlignment="1">
      <alignment horizontal="center" vertical="center" wrapText="1"/>
    </xf>
    <xf numFmtId="0" fontId="10" fillId="0" borderId="0" xfId="0" applyFont="1" applyFill="1" applyBorder="1" applyAlignment="1">
      <alignment vertical="center" wrapText="1"/>
    </xf>
    <xf numFmtId="2" fontId="0" fillId="0" borderId="1" xfId="0" applyNumberFormat="1" applyFont="1" applyFill="1" applyBorder="1" applyAlignment="1" applyProtection="1">
      <alignment horizontal="center"/>
    </xf>
    <xf numFmtId="0" fontId="4" fillId="2" borderId="0" xfId="0" applyFont="1" applyFill="1" applyBorder="1" applyAlignment="1">
      <alignment horizontal="center" vertical="center"/>
    </xf>
    <xf numFmtId="0" fontId="4" fillId="8" borderId="0" xfId="0" applyFont="1" applyFill="1" applyBorder="1" applyAlignment="1">
      <alignment horizontal="center"/>
    </xf>
    <xf numFmtId="0" fontId="3" fillId="0" borderId="0" xfId="0" applyFont="1" applyBorder="1" applyAlignment="1" applyProtection="1">
      <alignment horizontal="center"/>
    </xf>
    <xf numFmtId="0" fontId="1" fillId="0" borderId="0" xfId="0" applyFont="1" applyBorder="1" applyAlignment="1">
      <alignment horizontal="center" vertical="center" wrapText="1"/>
    </xf>
    <xf numFmtId="0" fontId="0" fillId="0" borderId="0" xfId="0" applyBorder="1" applyAlignment="1">
      <alignment horizontal="center"/>
    </xf>
    <xf numFmtId="0" fontId="1" fillId="0" borderId="1" xfId="0" applyFont="1" applyBorder="1" applyAlignment="1">
      <alignment vertical="center"/>
    </xf>
    <xf numFmtId="0" fontId="0" fillId="0" borderId="1" xfId="0" applyBorder="1" applyAlignment="1">
      <alignment horizontal="center" vertical="center"/>
    </xf>
    <xf numFmtId="0" fontId="14" fillId="0" borderId="0" xfId="0" applyFont="1"/>
    <xf numFmtId="0" fontId="4" fillId="11" borderId="1" xfId="0" applyFont="1" applyFill="1" applyBorder="1" applyAlignment="1">
      <alignment horizontal="left" vertical="center"/>
    </xf>
    <xf numFmtId="0" fontId="0" fillId="0" borderId="0" xfId="0" applyAlignment="1">
      <alignment horizontal="center"/>
    </xf>
    <xf numFmtId="0" fontId="4" fillId="5" borderId="12" xfId="0" applyFont="1" applyFill="1" applyBorder="1"/>
    <xf numFmtId="0" fontId="4" fillId="5" borderId="13" xfId="0" applyFont="1" applyFill="1" applyBorder="1"/>
    <xf numFmtId="0" fontId="4" fillId="3" borderId="8" xfId="0" applyFont="1" applyFill="1" applyBorder="1"/>
    <xf numFmtId="0" fontId="4" fillId="5" borderId="8" xfId="0" applyFont="1" applyFill="1" applyBorder="1"/>
    <xf numFmtId="0" fontId="4" fillId="5" borderId="7" xfId="0" applyFont="1" applyFill="1" applyBorder="1"/>
    <xf numFmtId="0" fontId="4" fillId="5" borderId="9" xfId="0" applyFont="1" applyFill="1" applyBorder="1"/>
    <xf numFmtId="0" fontId="4" fillId="5" borderId="10" xfId="0" applyFont="1" applyFill="1" applyBorder="1"/>
    <xf numFmtId="0" fontId="4" fillId="4" borderId="14" xfId="0" applyFont="1" applyFill="1" applyBorder="1" applyAlignment="1">
      <alignment horizontal="left" vertical="center"/>
    </xf>
    <xf numFmtId="0" fontId="4" fillId="3" borderId="12" xfId="0" applyFont="1" applyFill="1" applyBorder="1"/>
    <xf numFmtId="0" fontId="0" fillId="10" borderId="0" xfId="0" applyFill="1" applyAlignment="1">
      <alignment horizontal="center"/>
    </xf>
    <xf numFmtId="0" fontId="0" fillId="0" borderId="0" xfId="0" applyAlignment="1">
      <alignment horizontal="center" wrapText="1"/>
    </xf>
    <xf numFmtId="2" fontId="0" fillId="0" borderId="0" xfId="0" applyNumberFormat="1" applyFont="1" applyBorder="1" applyAlignment="1" applyProtection="1">
      <alignment horizontal="center"/>
    </xf>
    <xf numFmtId="0" fontId="4" fillId="0" borderId="3" xfId="0" applyFont="1" applyBorder="1" applyAlignment="1">
      <alignment horizontal="left" vertical="center"/>
    </xf>
    <xf numFmtId="0" fontId="0" fillId="0" borderId="0" xfId="0" applyAlignment="1">
      <alignment horizontal="center"/>
    </xf>
    <xf numFmtId="0" fontId="4" fillId="11" borderId="14" xfId="0" applyFont="1" applyFill="1" applyBorder="1" applyAlignment="1">
      <alignment horizontal="left" vertical="center"/>
    </xf>
    <xf numFmtId="0" fontId="4" fillId="11" borderId="0" xfId="0" applyFont="1" applyFill="1"/>
    <xf numFmtId="0" fontId="4" fillId="11" borderId="5" xfId="0" applyFont="1" applyFill="1" applyBorder="1"/>
    <xf numFmtId="0" fontId="4" fillId="11" borderId="4" xfId="0" applyFont="1" applyFill="1" applyBorder="1" applyAlignment="1">
      <alignment vertical="center"/>
    </xf>
    <xf numFmtId="0" fontId="4" fillId="11" borderId="6" xfId="0" applyFont="1" applyFill="1" applyBorder="1" applyAlignment="1">
      <alignment vertical="center"/>
    </xf>
    <xf numFmtId="0" fontId="4" fillId="3" borderId="15" xfId="0" applyFont="1" applyFill="1" applyBorder="1"/>
    <xf numFmtId="0" fontId="4" fillId="3" borderId="11" xfId="0" applyFont="1" applyFill="1" applyBorder="1"/>
    <xf numFmtId="0" fontId="4" fillId="4" borderId="0" xfId="0" applyFont="1" applyFill="1"/>
    <xf numFmtId="0" fontId="4" fillId="4" borderId="11" xfId="0" applyFont="1" applyFill="1" applyBorder="1"/>
    <xf numFmtId="0" fontId="4" fillId="5" borderId="0" xfId="0" applyFont="1" applyFill="1"/>
    <xf numFmtId="0" fontId="6" fillId="5" borderId="0" xfId="0" applyFont="1" applyFill="1"/>
    <xf numFmtId="0" fontId="4" fillId="5" borderId="15" xfId="0" applyFont="1" applyFill="1" applyBorder="1"/>
    <xf numFmtId="0" fontId="4" fillId="5" borderId="11" xfId="0" applyFont="1" applyFill="1" applyBorder="1"/>
    <xf numFmtId="2" fontId="4" fillId="3" borderId="15" xfId="0" applyNumberFormat="1" applyFont="1" applyFill="1" applyBorder="1" applyAlignment="1">
      <alignment horizontal="center"/>
    </xf>
    <xf numFmtId="2" fontId="4" fillId="3" borderId="11" xfId="0" applyNumberFormat="1" applyFont="1" applyFill="1" applyBorder="1" applyAlignment="1">
      <alignment horizontal="center"/>
    </xf>
    <xf numFmtId="0" fontId="4" fillId="4" borderId="3" xfId="0" applyFont="1" applyFill="1" applyBorder="1" applyAlignment="1">
      <alignment horizontal="center"/>
    </xf>
    <xf numFmtId="2" fontId="4" fillId="5" borderId="15" xfId="0" applyNumberFormat="1" applyFont="1" applyFill="1" applyBorder="1" applyAlignment="1">
      <alignment horizontal="center"/>
    </xf>
    <xf numFmtId="0" fontId="4" fillId="2" borderId="9" xfId="0" applyFont="1" applyFill="1" applyBorder="1" applyAlignment="1" applyProtection="1">
      <alignment horizontal="center"/>
      <protection locked="0"/>
    </xf>
    <xf numFmtId="0" fontId="4" fillId="12" borderId="9" xfId="0" applyFont="1" applyFill="1" applyBorder="1" applyAlignment="1" applyProtection="1">
      <alignment horizontal="center"/>
      <protection locked="0"/>
    </xf>
    <xf numFmtId="2" fontId="6" fillId="5" borderId="0" xfId="0" applyNumberFormat="1" applyFont="1" applyFill="1" applyAlignment="1">
      <alignment horizontal="center"/>
    </xf>
    <xf numFmtId="2" fontId="4" fillId="5" borderId="0" xfId="0" applyNumberFormat="1" applyFont="1" applyFill="1" applyAlignment="1">
      <alignment horizontal="center"/>
    </xf>
    <xf numFmtId="2" fontId="4" fillId="5" borderId="0" xfId="0" applyNumberFormat="1" applyFont="1" applyFill="1" applyAlignment="1">
      <alignment horizontal="center" vertical="center"/>
    </xf>
    <xf numFmtId="2" fontId="4" fillId="11" borderId="2" xfId="0" applyNumberFormat="1" applyFont="1" applyFill="1" applyBorder="1" applyAlignment="1">
      <alignment horizontal="center"/>
    </xf>
    <xf numFmtId="2" fontId="4" fillId="11" borderId="1" xfId="0" applyNumberFormat="1" applyFont="1" applyFill="1" applyBorder="1" applyAlignment="1">
      <alignment horizontal="center"/>
    </xf>
    <xf numFmtId="0" fontId="4" fillId="0" borderId="1" xfId="0" applyFont="1" applyBorder="1" applyAlignment="1">
      <alignment vertical="center"/>
    </xf>
    <xf numFmtId="0" fontId="4" fillId="0" borderId="1" xfId="0" applyFont="1" applyFill="1" applyBorder="1" applyAlignment="1" applyProtection="1">
      <alignment horizontal="center" vertical="center"/>
    </xf>
    <xf numFmtId="0" fontId="4" fillId="2" borderId="1" xfId="0" applyFont="1" applyFill="1" applyBorder="1" applyAlignment="1" applyProtection="1">
      <alignment horizontal="center" vertical="center"/>
      <protection locked="0"/>
    </xf>
    <xf numFmtId="0" fontId="4" fillId="0" borderId="6" xfId="0" applyFont="1" applyFill="1" applyBorder="1" applyAlignment="1">
      <alignment vertical="center"/>
    </xf>
    <xf numFmtId="0" fontId="0" fillId="0" borderId="0" xfId="0" applyAlignment="1">
      <alignment vertical="center"/>
    </xf>
    <xf numFmtId="0" fontId="4" fillId="0" borderId="1" xfId="0" applyFont="1" applyBorder="1" applyAlignment="1">
      <alignment horizontal="left" vertical="center"/>
    </xf>
    <xf numFmtId="0" fontId="4" fillId="0" borderId="4" xfId="0" applyFont="1" applyBorder="1" applyAlignment="1">
      <alignment vertical="center" wrapText="1"/>
    </xf>
    <xf numFmtId="0" fontId="0" fillId="0" borderId="0" xfId="0" applyAlignment="1">
      <alignment horizontal="center" vertical="center"/>
    </xf>
    <xf numFmtId="0" fontId="1" fillId="0" borderId="0" xfId="0" applyFont="1" applyAlignment="1">
      <alignment horizontal="center"/>
    </xf>
    <xf numFmtId="0" fontId="0" fillId="12" borderId="1" xfId="0" applyFill="1" applyBorder="1" applyAlignment="1" applyProtection="1">
      <alignment horizontal="center" vertical="center"/>
      <protection locked="0"/>
    </xf>
    <xf numFmtId="0" fontId="1" fillId="0" borderId="0" xfId="0" applyFont="1" applyAlignment="1">
      <alignment vertical="center"/>
    </xf>
    <xf numFmtId="0" fontId="1" fillId="0" borderId="33" xfId="0" applyFont="1" applyBorder="1" applyAlignment="1" applyProtection="1">
      <alignment horizontal="left" vertical="center" wrapText="1"/>
    </xf>
    <xf numFmtId="0" fontId="16" fillId="0" borderId="0" xfId="0" applyFont="1"/>
    <xf numFmtId="168" fontId="16" fillId="0" borderId="0" xfId="0" applyNumberFormat="1" applyFont="1"/>
    <xf numFmtId="0" fontId="7" fillId="0" borderId="0" xfId="0" applyFont="1" applyAlignment="1">
      <alignment horizontal="center"/>
    </xf>
    <xf numFmtId="0" fontId="7" fillId="0" borderId="0" xfId="0" applyFont="1" applyAlignment="1">
      <alignment horizontal="center" vertical="center"/>
    </xf>
    <xf numFmtId="0" fontId="0" fillId="0" borderId="0" xfId="0" applyAlignment="1">
      <alignment horizontal="left"/>
    </xf>
    <xf numFmtId="0" fontId="0" fillId="10" borderId="0" xfId="0" applyFill="1" applyBorder="1"/>
    <xf numFmtId="0" fontId="0" fillId="0" borderId="0" xfId="0" applyFill="1" applyBorder="1"/>
    <xf numFmtId="0" fontId="0" fillId="0" borderId="0" xfId="0" applyFill="1" applyBorder="1" applyAlignment="1">
      <alignment vertical="center"/>
    </xf>
    <xf numFmtId="168" fontId="0" fillId="0" borderId="0" xfId="0" applyNumberFormat="1"/>
    <xf numFmtId="0" fontId="0" fillId="0" borderId="0" xfId="0" applyBorder="1" applyAlignment="1">
      <alignment vertical="center"/>
    </xf>
    <xf numFmtId="0" fontId="7" fillId="0" borderId="0" xfId="0" applyFont="1" applyBorder="1" applyAlignment="1">
      <alignment wrapText="1"/>
    </xf>
    <xf numFmtId="0" fontId="0" fillId="0" borderId="0" xfId="0" applyBorder="1" applyAlignment="1">
      <alignment horizontal="center" wrapText="1"/>
    </xf>
    <xf numFmtId="11" fontId="0" fillId="0" borderId="0" xfId="0" applyNumberFormat="1" applyBorder="1"/>
    <xf numFmtId="0" fontId="0" fillId="0" borderId="0" xfId="0" applyBorder="1" applyAlignment="1">
      <alignment horizontal="left" wrapText="1"/>
    </xf>
    <xf numFmtId="168" fontId="0" fillId="0" borderId="0" xfId="0" applyNumberFormat="1" applyAlignment="1">
      <alignment horizontal="center"/>
    </xf>
    <xf numFmtId="0" fontId="0" fillId="0" borderId="10" xfId="0" applyBorder="1" applyAlignment="1">
      <alignment vertical="center"/>
    </xf>
    <xf numFmtId="0" fontId="0" fillId="10" borderId="0" xfId="0" applyFill="1" applyBorder="1" applyAlignment="1">
      <alignment horizontal="center"/>
    </xf>
    <xf numFmtId="0" fontId="7" fillId="0" borderId="0" xfId="0" applyFont="1" applyFill="1" applyBorder="1" applyAlignment="1">
      <alignment vertical="center"/>
    </xf>
    <xf numFmtId="0" fontId="7" fillId="0" borderId="0" xfId="0" applyFont="1" applyFill="1" applyBorder="1"/>
    <xf numFmtId="0" fontId="0" fillId="0" borderId="0" xfId="0" applyFill="1" applyBorder="1" applyAlignment="1">
      <alignment horizontal="center" vertical="center"/>
    </xf>
    <xf numFmtId="0" fontId="0" fillId="0" borderId="9" xfId="0" applyBorder="1" applyAlignment="1">
      <alignment horizontal="left"/>
    </xf>
    <xf numFmtId="0" fontId="0" fillId="10" borderId="9" xfId="0" applyFill="1" applyBorder="1" applyAlignment="1">
      <alignment horizontal="left"/>
    </xf>
    <xf numFmtId="0" fontId="1" fillId="0" borderId="0" xfId="0" applyFont="1" applyFill="1" applyAlignment="1">
      <alignment horizontal="left"/>
    </xf>
    <xf numFmtId="0" fontId="0" fillId="0" borderId="0" xfId="0" applyAlignment="1">
      <alignment horizontal="left" vertical="center" wrapText="1"/>
    </xf>
    <xf numFmtId="0" fontId="0" fillId="0" borderId="0" xfId="2" applyFont="1" applyFill="1" applyBorder="1" applyAlignment="1">
      <alignment horizontal="left" vertical="center"/>
    </xf>
    <xf numFmtId="0" fontId="0" fillId="10" borderId="0" xfId="0" applyFill="1" applyAlignment="1">
      <alignment horizontal="left"/>
    </xf>
    <xf numFmtId="0" fontId="0" fillId="0" borderId="1" xfId="0" applyFont="1" applyFill="1" applyBorder="1" applyAlignment="1">
      <alignment horizontal="center" vertical="center"/>
    </xf>
    <xf numFmtId="0" fontId="4" fillId="5" borderId="12" xfId="0" applyFont="1" applyFill="1" applyBorder="1"/>
    <xf numFmtId="0" fontId="4" fillId="5" borderId="13" xfId="0" applyFont="1" applyFill="1" applyBorder="1"/>
    <xf numFmtId="0" fontId="4" fillId="5" borderId="8" xfId="0" applyFont="1" applyFill="1" applyBorder="1"/>
    <xf numFmtId="0" fontId="4" fillId="5" borderId="7" xfId="0" applyFont="1" applyFill="1" applyBorder="1"/>
    <xf numFmtId="0" fontId="4" fillId="5" borderId="9" xfId="0" applyFont="1" applyFill="1" applyBorder="1"/>
    <xf numFmtId="0" fontId="4" fillId="5" borderId="10" xfId="0" applyFont="1" applyFill="1" applyBorder="1"/>
    <xf numFmtId="0" fontId="4" fillId="3" borderId="8" xfId="0" applyFont="1" applyFill="1" applyBorder="1"/>
    <xf numFmtId="0" fontId="4" fillId="3" borderId="12" xfId="0" applyFont="1" applyFill="1" applyBorder="1"/>
    <xf numFmtId="0" fontId="0" fillId="0" borderId="0" xfId="0" applyAlignment="1">
      <alignment horizontal="center"/>
    </xf>
    <xf numFmtId="165" fontId="11" fillId="10" borderId="0" xfId="0" applyNumberFormat="1" applyFont="1" applyFill="1" applyAlignment="1">
      <alignment horizontal="left"/>
    </xf>
    <xf numFmtId="0" fontId="9" fillId="0" borderId="10" xfId="0" applyFont="1" applyBorder="1" applyAlignment="1">
      <alignment horizontal="left"/>
    </xf>
    <xf numFmtId="0" fontId="5" fillId="0" borderId="6" xfId="0" applyFont="1" applyBorder="1" applyAlignment="1">
      <alignment horizontal="center"/>
    </xf>
    <xf numFmtId="0" fontId="1" fillId="0" borderId="18" xfId="0" applyFont="1" applyFill="1" applyBorder="1" applyAlignment="1" applyProtection="1">
      <alignment horizontal="center" vertical="center" wrapText="1"/>
    </xf>
    <xf numFmtId="0" fontId="1" fillId="0" borderId="13" xfId="0" applyFont="1" applyFill="1" applyBorder="1" applyAlignment="1" applyProtection="1">
      <alignment horizontal="center" vertical="center" wrapText="1"/>
    </xf>
    <xf numFmtId="0" fontId="1" fillId="0" borderId="3" xfId="0" applyFont="1" applyFill="1" applyBorder="1" applyAlignment="1" applyProtection="1">
      <alignment horizontal="center" vertical="center" wrapText="1"/>
    </xf>
    <xf numFmtId="0" fontId="0" fillId="10" borderId="10" xfId="0" applyFill="1" applyBorder="1" applyAlignment="1">
      <alignment horizontal="left"/>
    </xf>
    <xf numFmtId="0" fontId="0" fillId="0" borderId="10" xfId="0" applyBorder="1" applyAlignment="1">
      <alignment horizontal="left"/>
    </xf>
    <xf numFmtId="0" fontId="0" fillId="0" borderId="10" xfId="0" applyBorder="1" applyAlignment="1">
      <alignment horizontal="left" vertical="center"/>
    </xf>
    <xf numFmtId="0" fontId="0" fillId="0" borderId="16" xfId="0" applyFont="1" applyFill="1" applyBorder="1" applyAlignment="1" applyProtection="1">
      <alignment horizontal="center"/>
    </xf>
    <xf numFmtId="0" fontId="1" fillId="0" borderId="22"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17" fillId="0" borderId="0" xfId="0" applyFont="1"/>
    <xf numFmtId="9" fontId="9" fillId="0" borderId="1" xfId="3" applyFont="1" applyFill="1" applyBorder="1" applyAlignment="1">
      <alignment horizontal="center" vertical="center"/>
    </xf>
    <xf numFmtId="0" fontId="0" fillId="2" borderId="1" xfId="0" applyFill="1" applyBorder="1" applyAlignment="1" applyProtection="1">
      <alignment horizontal="center" vertical="center"/>
      <protection locked="0"/>
    </xf>
    <xf numFmtId="0" fontId="0" fillId="0" borderId="0" xfId="0" applyFill="1" applyAlignment="1"/>
    <xf numFmtId="0" fontId="0" fillId="0" borderId="0" xfId="0" applyAlignment="1">
      <alignment horizontal="center"/>
    </xf>
    <xf numFmtId="2" fontId="0" fillId="0" borderId="1" xfId="0" applyNumberFormat="1" applyFill="1" applyBorder="1" applyAlignment="1" applyProtection="1">
      <alignment horizontal="center" vertical="center" wrapText="1"/>
    </xf>
    <xf numFmtId="17" fontId="10" fillId="0" borderId="0" xfId="0" applyNumberFormat="1" applyFont="1" applyAlignment="1">
      <alignment vertical="center"/>
    </xf>
    <xf numFmtId="167" fontId="0" fillId="2" borderId="1" xfId="0" applyNumberFormat="1" applyFont="1" applyFill="1" applyBorder="1" applyAlignment="1" applyProtection="1">
      <alignment horizontal="center" vertical="center"/>
      <protection locked="0"/>
    </xf>
    <xf numFmtId="0" fontId="1" fillId="0" borderId="1" xfId="0" applyFont="1" applyBorder="1" applyAlignment="1" applyProtection="1">
      <alignment horizontal="center" vertical="center" wrapText="1"/>
    </xf>
    <xf numFmtId="0" fontId="0" fillId="0" borderId="1" xfId="0" applyFill="1" applyBorder="1" applyAlignment="1" applyProtection="1">
      <alignment horizontal="center" vertical="center" wrapText="1"/>
    </xf>
    <xf numFmtId="0" fontId="0" fillId="0" borderId="1" xfId="0" applyFill="1" applyBorder="1" applyAlignment="1" applyProtection="1">
      <alignment horizontal="left" vertical="center" wrapText="1"/>
    </xf>
    <xf numFmtId="1" fontId="0" fillId="0" borderId="1" xfId="0" applyNumberFormat="1" applyFill="1" applyBorder="1" applyAlignment="1" applyProtection="1">
      <alignment horizontal="center" vertical="center" wrapText="1"/>
    </xf>
    <xf numFmtId="1" fontId="0" fillId="0" borderId="4" xfId="0" applyNumberFormat="1" applyFont="1" applyBorder="1" applyAlignment="1" applyProtection="1">
      <alignment horizontal="center"/>
    </xf>
    <xf numFmtId="0" fontId="15" fillId="0" borderId="0" xfId="0" applyFont="1" applyFill="1" applyAlignment="1">
      <alignment vertical="center"/>
    </xf>
    <xf numFmtId="0" fontId="16" fillId="0" borderId="0" xfId="0" applyFont="1" applyFill="1" applyAlignment="1">
      <alignment vertical="center"/>
    </xf>
    <xf numFmtId="0" fontId="0" fillId="12" borderId="1" xfId="0" applyFont="1" applyFill="1" applyBorder="1" applyAlignment="1" applyProtection="1">
      <alignment horizontal="center"/>
      <protection locked="0"/>
    </xf>
    <xf numFmtId="0" fontId="4" fillId="12" borderId="1" xfId="0" applyFont="1" applyFill="1" applyBorder="1" applyAlignment="1" applyProtection="1">
      <alignment horizontal="center" vertical="center"/>
      <protection locked="0"/>
    </xf>
    <xf numFmtId="164" fontId="0" fillId="0" borderId="1" xfId="0" applyNumberFormat="1" applyFill="1" applyBorder="1" applyAlignment="1" applyProtection="1">
      <alignment horizontal="center" vertical="center" wrapText="1"/>
    </xf>
    <xf numFmtId="0" fontId="0" fillId="2" borderId="1" xfId="0" applyFill="1" applyBorder="1" applyAlignment="1" applyProtection="1">
      <alignment horizontal="center" vertical="center" wrapText="1"/>
      <protection locked="0"/>
    </xf>
    <xf numFmtId="0" fontId="1" fillId="0" borderId="8" xfId="0" applyFont="1" applyBorder="1" applyAlignment="1">
      <alignment horizontal="left" vertical="center"/>
    </xf>
    <xf numFmtId="0" fontId="1" fillId="0" borderId="12" xfId="0" applyFont="1" applyBorder="1" applyAlignment="1">
      <alignment horizontal="left" vertical="center"/>
    </xf>
    <xf numFmtId="0" fontId="1" fillId="0" borderId="4" xfId="0" applyFont="1" applyBorder="1" applyAlignment="1">
      <alignment vertical="center"/>
    </xf>
    <xf numFmtId="0" fontId="1" fillId="0" borderId="8" xfId="0" applyFont="1" applyBorder="1" applyAlignment="1" applyProtection="1">
      <alignment horizontal="left" vertical="center" wrapText="1"/>
    </xf>
    <xf numFmtId="0" fontId="1" fillId="0" borderId="12" xfId="0" applyFont="1" applyBorder="1" applyAlignment="1" applyProtection="1">
      <alignment horizontal="left" vertical="center" wrapText="1"/>
    </xf>
    <xf numFmtId="0" fontId="1" fillId="0" borderId="0" xfId="0" applyFont="1" applyBorder="1" applyAlignment="1" applyProtection="1">
      <alignment horizontal="left" vertical="center" wrapText="1"/>
    </xf>
    <xf numFmtId="0" fontId="0" fillId="0" borderId="13" xfId="0" applyFont="1" applyFill="1" applyBorder="1" applyAlignment="1" applyProtection="1">
      <alignment horizontal="center"/>
    </xf>
    <xf numFmtId="0" fontId="1" fillId="0" borderId="0" xfId="0" applyFont="1" applyFill="1" applyAlignment="1">
      <alignment horizontal="center" vertical="center" wrapText="1"/>
    </xf>
    <xf numFmtId="0" fontId="0" fillId="0" borderId="1" xfId="0" applyFont="1" applyFill="1" applyBorder="1" applyAlignment="1">
      <alignment horizontal="center" vertical="center" wrapText="1"/>
    </xf>
    <xf numFmtId="0" fontId="0" fillId="0" borderId="3" xfId="0" applyFont="1" applyFill="1" applyBorder="1" applyAlignment="1">
      <alignment horizontal="center" vertical="center" wrapText="1"/>
    </xf>
    <xf numFmtId="2" fontId="4" fillId="6" borderId="1" xfId="0" applyNumberFormat="1" applyFont="1" applyFill="1" applyBorder="1" applyAlignment="1">
      <alignment horizontal="center"/>
    </xf>
    <xf numFmtId="0" fontId="4" fillId="6" borderId="1" xfId="0" applyFont="1" applyFill="1" applyBorder="1" applyAlignment="1">
      <alignment horizontal="left" vertical="center"/>
    </xf>
    <xf numFmtId="0" fontId="0" fillId="0" borderId="3" xfId="0" applyFont="1" applyFill="1" applyBorder="1" applyAlignment="1">
      <alignment horizontal="center" vertical="center"/>
    </xf>
    <xf numFmtId="9" fontId="9" fillId="0" borderId="3" xfId="3" applyFont="1" applyFill="1" applyBorder="1" applyAlignment="1">
      <alignment horizontal="center" vertical="center"/>
    </xf>
    <xf numFmtId="0" fontId="10" fillId="0" borderId="35" xfId="0" applyFont="1" applyFill="1" applyBorder="1" applyAlignment="1">
      <alignment horizontal="center" vertical="center" wrapText="1"/>
    </xf>
    <xf numFmtId="0" fontId="0" fillId="0" borderId="39" xfId="0" applyFont="1" applyFill="1" applyBorder="1" applyAlignment="1">
      <alignment horizontal="center" vertical="center"/>
    </xf>
    <xf numFmtId="0" fontId="0" fillId="0" borderId="40"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30" xfId="0" applyFont="1" applyFill="1" applyBorder="1" applyAlignment="1">
      <alignment horizontal="center" vertical="center"/>
    </xf>
    <xf numFmtId="9" fontId="9" fillId="0" borderId="30" xfId="3" applyFont="1" applyFill="1" applyBorder="1" applyAlignment="1">
      <alignment horizontal="center" vertical="center"/>
    </xf>
    <xf numFmtId="0" fontId="1" fillId="0" borderId="34" xfId="0" applyFont="1" applyFill="1" applyBorder="1" applyAlignment="1">
      <alignment horizontal="center" vertical="center"/>
    </xf>
    <xf numFmtId="0" fontId="1" fillId="0" borderId="35" xfId="0" applyFont="1" applyFill="1" applyBorder="1" applyAlignment="1">
      <alignment horizontal="center" vertical="center"/>
    </xf>
    <xf numFmtId="0" fontId="1" fillId="0" borderId="29" xfId="0" applyFont="1" applyBorder="1" applyAlignment="1" applyProtection="1">
      <alignment horizontal="center"/>
    </xf>
    <xf numFmtId="2" fontId="0" fillId="0" borderId="13" xfId="0" applyNumberFormat="1" applyFont="1" applyBorder="1" applyAlignment="1" applyProtection="1">
      <alignment horizontal="center"/>
    </xf>
    <xf numFmtId="2" fontId="0" fillId="0" borderId="6" xfId="0" applyNumberFormat="1" applyFont="1" applyBorder="1" applyAlignment="1" applyProtection="1">
      <alignment horizontal="center"/>
    </xf>
    <xf numFmtId="2" fontId="0" fillId="0" borderId="44" xfId="0" applyNumberFormat="1" applyFont="1" applyBorder="1" applyAlignment="1" applyProtection="1">
      <alignment horizontal="center"/>
    </xf>
    <xf numFmtId="2" fontId="0" fillId="0" borderId="45" xfId="0" applyNumberFormat="1" applyFont="1" applyBorder="1" applyAlignment="1" applyProtection="1">
      <alignment horizontal="center"/>
    </xf>
    <xf numFmtId="0" fontId="5" fillId="0" borderId="8" xfId="0" applyFont="1" applyBorder="1" applyAlignment="1">
      <alignment vertical="center"/>
    </xf>
    <xf numFmtId="0" fontId="4" fillId="0" borderId="15" xfId="0" applyFont="1" applyBorder="1" applyAlignment="1">
      <alignment vertical="center"/>
    </xf>
    <xf numFmtId="0" fontId="4" fillId="0" borderId="12" xfId="0" applyFont="1" applyBorder="1" applyAlignment="1">
      <alignment horizontal="left" vertical="center" wrapText="1"/>
    </xf>
    <xf numFmtId="0" fontId="4" fillId="0" borderId="11" xfId="0" applyFont="1" applyBorder="1" applyAlignment="1">
      <alignment horizontal="left" vertical="center" wrapText="1"/>
    </xf>
    <xf numFmtId="0" fontId="4" fillId="0" borderId="13" xfId="0" applyFont="1" applyBorder="1" applyAlignment="1">
      <alignment horizontal="left" vertical="center" wrapText="1"/>
    </xf>
    <xf numFmtId="0" fontId="5" fillId="9" borderId="1" xfId="0" applyFont="1" applyFill="1" applyBorder="1" applyAlignment="1">
      <alignment horizontal="center" vertical="center" wrapText="1"/>
    </xf>
    <xf numFmtId="0" fontId="4" fillId="3" borderId="1" xfId="0" applyFont="1" applyFill="1" applyBorder="1" applyAlignment="1">
      <alignment vertical="center" wrapText="1"/>
    </xf>
    <xf numFmtId="0" fontId="4" fillId="4" borderId="1" xfId="0" applyFont="1" applyFill="1" applyBorder="1" applyAlignment="1">
      <alignment vertical="center" wrapText="1"/>
    </xf>
    <xf numFmtId="0" fontId="4" fillId="4" borderId="1" xfId="0" applyFont="1" applyFill="1" applyBorder="1" applyAlignment="1">
      <alignment horizontal="left" vertical="center" wrapText="1"/>
    </xf>
    <xf numFmtId="0" fontId="4" fillId="5" borderId="1" xfId="0" applyFont="1" applyFill="1" applyBorder="1" applyAlignment="1">
      <alignment vertical="center" wrapText="1"/>
    </xf>
    <xf numFmtId="0" fontId="6" fillId="5" borderId="3" xfId="0" applyFont="1" applyFill="1" applyBorder="1" applyAlignment="1">
      <alignment horizontal="left" vertical="center" wrapText="1"/>
    </xf>
    <xf numFmtId="0" fontId="4" fillId="5" borderId="1" xfId="0" applyFont="1" applyFill="1" applyBorder="1" applyAlignment="1">
      <alignment horizontal="left" vertical="center" wrapText="1"/>
    </xf>
    <xf numFmtId="0" fontId="4" fillId="11" borderId="1" xfId="0" applyFont="1" applyFill="1" applyBorder="1" applyAlignment="1">
      <alignment horizontal="left" vertical="center" wrapText="1"/>
    </xf>
    <xf numFmtId="0" fontId="4" fillId="6" borderId="1" xfId="0" applyFont="1" applyFill="1" applyBorder="1" applyAlignment="1">
      <alignment horizontal="left" vertical="center" wrapText="1"/>
    </xf>
    <xf numFmtId="0" fontId="1" fillId="0" borderId="57" xfId="0" applyFont="1" applyBorder="1" applyAlignment="1" applyProtection="1">
      <alignment horizontal="center"/>
    </xf>
    <xf numFmtId="15" fontId="9" fillId="0" borderId="0" xfId="0" applyNumberFormat="1" applyFont="1" applyFill="1" applyAlignment="1">
      <alignment vertical="center"/>
    </xf>
    <xf numFmtId="0" fontId="1" fillId="0" borderId="58" xfId="0" applyFont="1" applyFill="1" applyBorder="1" applyAlignment="1">
      <alignment horizontal="center" vertical="center" wrapText="1"/>
    </xf>
    <xf numFmtId="0" fontId="0" fillId="0" borderId="1" xfId="0" applyFill="1" applyBorder="1" applyAlignment="1" applyProtection="1">
      <alignment horizontal="center" vertical="center"/>
    </xf>
    <xf numFmtId="0" fontId="8" fillId="0" borderId="1" xfId="0" applyFont="1" applyBorder="1" applyAlignment="1">
      <alignment horizontal="center" vertical="center"/>
    </xf>
    <xf numFmtId="0" fontId="0" fillId="0" borderId="1" xfId="0" applyFill="1" applyBorder="1" applyAlignment="1" applyProtection="1">
      <alignment horizontal="center" vertical="center"/>
    </xf>
    <xf numFmtId="0" fontId="0" fillId="0" borderId="0" xfId="0" applyAlignment="1" applyProtection="1">
      <alignment vertical="center"/>
      <protection locked="0"/>
    </xf>
    <xf numFmtId="0" fontId="4" fillId="4" borderId="14" xfId="0" applyFont="1" applyFill="1" applyBorder="1" applyAlignment="1">
      <alignment horizontal="left" vertical="center"/>
    </xf>
    <xf numFmtId="0" fontId="4" fillId="11" borderId="14" xfId="0" applyFont="1" applyFill="1" applyBorder="1" applyAlignment="1">
      <alignment horizontal="left" vertical="center"/>
    </xf>
    <xf numFmtId="0" fontId="0" fillId="0" borderId="0" xfId="0" applyAlignment="1">
      <alignment horizontal="center"/>
    </xf>
    <xf numFmtId="0" fontId="0" fillId="0" borderId="10" xfId="0" applyBorder="1" applyAlignment="1">
      <alignment horizontal="center"/>
    </xf>
    <xf numFmtId="1" fontId="0" fillId="0" borderId="0" xfId="0" applyNumberFormat="1"/>
    <xf numFmtId="0" fontId="0" fillId="0" borderId="9" xfId="0" applyBorder="1"/>
    <xf numFmtId="0" fontId="9" fillId="0" borderId="0" xfId="0" applyFont="1" applyBorder="1" applyAlignment="1">
      <alignment horizontal="center"/>
    </xf>
    <xf numFmtId="0" fontId="0" fillId="0" borderId="9" xfId="0" applyBorder="1" applyAlignment="1">
      <alignment horizontal="center"/>
    </xf>
    <xf numFmtId="168" fontId="0" fillId="0" borderId="0" xfId="0" applyNumberFormat="1" applyBorder="1"/>
    <xf numFmtId="1" fontId="0" fillId="0" borderId="0" xfId="0" applyNumberFormat="1" applyBorder="1"/>
    <xf numFmtId="0" fontId="0" fillId="10" borderId="9" xfId="0" applyFill="1" applyBorder="1"/>
    <xf numFmtId="164" fontId="0" fillId="0" borderId="0" xfId="0" applyNumberFormat="1"/>
    <xf numFmtId="168" fontId="0" fillId="0" borderId="10" xfId="0" applyNumberFormat="1" applyBorder="1"/>
    <xf numFmtId="164" fontId="0" fillId="0" borderId="10" xfId="0" applyNumberFormat="1" applyBorder="1"/>
    <xf numFmtId="2" fontId="0" fillId="0" borderId="10" xfId="0" applyNumberFormat="1" applyBorder="1"/>
    <xf numFmtId="0" fontId="4" fillId="11" borderId="8" xfId="0" applyFont="1" applyFill="1" applyBorder="1" applyAlignment="1">
      <alignment vertical="center"/>
    </xf>
    <xf numFmtId="0" fontId="4" fillId="11" borderId="11" xfId="0" applyFont="1" applyFill="1" applyBorder="1" applyAlignment="1">
      <alignment vertical="center"/>
    </xf>
    <xf numFmtId="2" fontId="4" fillId="11" borderId="3" xfId="0" applyNumberFormat="1" applyFont="1" applyFill="1" applyBorder="1" applyAlignment="1">
      <alignment horizontal="center"/>
    </xf>
    <xf numFmtId="0" fontId="4" fillId="11" borderId="12" xfId="0" applyFont="1" applyFill="1" applyBorder="1" applyAlignment="1">
      <alignment vertical="center"/>
    </xf>
    <xf numFmtId="0" fontId="4" fillId="11" borderId="8" xfId="0" applyFont="1" applyFill="1" applyBorder="1"/>
    <xf numFmtId="0" fontId="4" fillId="11" borderId="4" xfId="0" applyFont="1" applyFill="1" applyBorder="1"/>
    <xf numFmtId="0" fontId="4" fillId="11" borderId="7" xfId="0" applyFont="1" applyFill="1" applyBorder="1" applyAlignment="1">
      <alignment vertical="center"/>
    </xf>
    <xf numFmtId="0" fontId="4" fillId="11" borderId="15" xfId="0" applyFont="1" applyFill="1" applyBorder="1" applyAlignment="1">
      <alignment vertical="center"/>
    </xf>
    <xf numFmtId="0" fontId="4" fillId="2" borderId="8" xfId="0" applyFont="1" applyFill="1" applyBorder="1" applyAlignment="1" applyProtection="1">
      <alignment horizontal="center"/>
      <protection locked="0"/>
    </xf>
    <xf numFmtId="2" fontId="4" fillId="11" borderId="14" xfId="0" applyNumberFormat="1" applyFont="1" applyFill="1" applyBorder="1" applyAlignment="1">
      <alignment horizontal="center"/>
    </xf>
    <xf numFmtId="1" fontId="4" fillId="2" borderId="14" xfId="0" applyNumberFormat="1" applyFont="1" applyFill="1" applyBorder="1" applyAlignment="1" applyProtection="1">
      <alignment horizontal="center"/>
      <protection locked="0"/>
    </xf>
    <xf numFmtId="2" fontId="4" fillId="6" borderId="14" xfId="0" applyNumberFormat="1" applyFont="1" applyFill="1" applyBorder="1" applyAlignment="1">
      <alignment horizontal="center" wrapText="1"/>
    </xf>
    <xf numFmtId="0" fontId="4" fillId="2" borderId="1" xfId="0" applyNumberFormat="1" applyFont="1" applyFill="1" applyBorder="1" applyAlignment="1" applyProtection="1">
      <alignment horizontal="center"/>
      <protection locked="0"/>
    </xf>
    <xf numFmtId="0" fontId="4" fillId="5" borderId="3" xfId="0" applyFont="1" applyFill="1" applyBorder="1" applyAlignment="1">
      <alignment horizontal="left" vertical="center" wrapText="1"/>
    </xf>
    <xf numFmtId="2" fontId="0" fillId="0" borderId="0" xfId="0" applyNumberFormat="1" applyAlignment="1">
      <alignment horizontal="center"/>
    </xf>
    <xf numFmtId="0" fontId="4" fillId="0" borderId="7" xfId="0" applyFont="1" applyBorder="1" applyAlignment="1">
      <alignment vertical="center" wrapText="1"/>
    </xf>
    <xf numFmtId="0" fontId="4" fillId="0" borderId="15" xfId="0" applyFont="1" applyBorder="1" applyAlignment="1">
      <alignment vertical="center" wrapText="1"/>
    </xf>
    <xf numFmtId="0" fontId="4" fillId="11" borderId="1" xfId="0" applyFont="1" applyFill="1" applyBorder="1" applyAlignment="1">
      <alignment vertical="center" wrapText="1"/>
    </xf>
    <xf numFmtId="0" fontId="4" fillId="11" borderId="12" xfId="0" applyFont="1" applyFill="1" applyBorder="1" applyAlignment="1">
      <alignment vertical="center" wrapText="1"/>
    </xf>
    <xf numFmtId="0" fontId="4" fillId="0" borderId="1" xfId="0" applyFont="1" applyBorder="1" applyAlignment="1">
      <alignment vertical="center" wrapText="1"/>
    </xf>
    <xf numFmtId="0" fontId="4" fillId="12" borderId="4" xfId="0" applyFont="1" applyFill="1" applyBorder="1" applyAlignment="1" applyProtection="1">
      <alignment horizontal="center" vertical="center" wrapText="1"/>
      <protection locked="0"/>
    </xf>
    <xf numFmtId="0" fontId="4" fillId="12" borderId="1" xfId="0" applyFont="1" applyFill="1" applyBorder="1" applyAlignment="1" applyProtection="1">
      <alignment horizontal="center" vertical="center" wrapText="1"/>
      <protection locked="0"/>
    </xf>
    <xf numFmtId="0" fontId="1" fillId="0" borderId="59" xfId="0" applyFont="1" applyFill="1" applyBorder="1" applyAlignment="1">
      <alignment horizontal="center" vertical="center" wrapText="1"/>
    </xf>
    <xf numFmtId="0" fontId="1" fillId="0" borderId="68" xfId="0" applyFont="1" applyFill="1" applyBorder="1" applyAlignment="1">
      <alignment horizontal="center" vertical="center" wrapText="1"/>
    </xf>
    <xf numFmtId="0" fontId="0" fillId="12" borderId="1" xfId="0" applyFill="1" applyBorder="1" applyAlignment="1" applyProtection="1">
      <alignment horizontal="center" vertical="center" wrapText="1"/>
      <protection locked="0"/>
    </xf>
    <xf numFmtId="0" fontId="0" fillId="0" borderId="1" xfId="0" applyFill="1" applyBorder="1" applyAlignment="1" applyProtection="1">
      <alignment horizontal="center" vertical="center"/>
    </xf>
    <xf numFmtId="0" fontId="8" fillId="0" borderId="4" xfId="0" applyFont="1" applyBorder="1" applyAlignment="1">
      <alignment horizontal="center" vertical="center" wrapText="1"/>
    </xf>
    <xf numFmtId="0" fontId="8" fillId="0" borderId="5" xfId="0" applyFont="1" applyBorder="1" applyAlignment="1">
      <alignment horizontal="center" vertical="center" wrapText="1"/>
    </xf>
    <xf numFmtId="0" fontId="8" fillId="0" borderId="6" xfId="0" applyFont="1" applyBorder="1" applyAlignment="1">
      <alignment horizontal="center" vertical="center" wrapText="1"/>
    </xf>
    <xf numFmtId="0" fontId="3" fillId="0" borderId="4" xfId="0" applyFont="1" applyBorder="1" applyAlignment="1" applyProtection="1">
      <alignment horizontal="center" vertical="center"/>
    </xf>
    <xf numFmtId="0" fontId="3" fillId="0" borderId="6" xfId="0" applyFont="1" applyBorder="1" applyAlignment="1" applyProtection="1">
      <alignment horizontal="center" vertical="center"/>
    </xf>
    <xf numFmtId="0" fontId="4" fillId="2" borderId="4" xfId="0" applyFont="1" applyFill="1" applyBorder="1" applyAlignment="1" applyProtection="1">
      <alignment horizontal="center" vertical="center"/>
    </xf>
    <xf numFmtId="0" fontId="4" fillId="2" borderId="6" xfId="0" applyFont="1" applyFill="1" applyBorder="1" applyAlignment="1" applyProtection="1">
      <alignment horizontal="center" vertical="center"/>
    </xf>
    <xf numFmtId="0" fontId="4" fillId="12" borderId="4" xfId="0" applyFont="1" applyFill="1" applyBorder="1" applyAlignment="1" applyProtection="1">
      <alignment horizontal="center" vertical="center"/>
    </xf>
    <xf numFmtId="0" fontId="4" fillId="12" borderId="6" xfId="0" applyFont="1" applyFill="1" applyBorder="1" applyAlignment="1" applyProtection="1">
      <alignment horizontal="center" vertical="center"/>
    </xf>
    <xf numFmtId="0" fontId="4" fillId="0" borderId="4" xfId="0" applyFont="1" applyBorder="1" applyAlignment="1" applyProtection="1">
      <alignment horizontal="center" vertical="center"/>
    </xf>
    <xf numFmtId="0" fontId="4" fillId="0" borderId="6" xfId="0" applyFont="1" applyBorder="1" applyAlignment="1" applyProtection="1">
      <alignment horizontal="center" vertical="center"/>
    </xf>
    <xf numFmtId="0" fontId="0" fillId="2" borderId="4" xfId="0" applyFill="1" applyBorder="1" applyAlignment="1" applyProtection="1">
      <alignment horizontal="center" vertical="center" wrapText="1"/>
      <protection locked="0"/>
    </xf>
    <xf numFmtId="0" fontId="0" fillId="2" borderId="5" xfId="0" applyFill="1" applyBorder="1" applyAlignment="1" applyProtection="1">
      <alignment horizontal="center" vertical="center" wrapText="1"/>
      <protection locked="0"/>
    </xf>
    <xf numFmtId="0" fontId="0" fillId="2" borderId="6" xfId="0" applyFill="1" applyBorder="1" applyAlignment="1" applyProtection="1">
      <alignment horizontal="center" vertical="center" wrapText="1"/>
      <protection locked="0"/>
    </xf>
    <xf numFmtId="0" fontId="8" fillId="0" borderId="0" xfId="0" applyFont="1" applyFill="1" applyBorder="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0" fillId="2" borderId="1" xfId="0" applyFill="1" applyBorder="1" applyAlignment="1" applyProtection="1">
      <alignment horizontal="left" vertical="center"/>
      <protection locked="0"/>
    </xf>
    <xf numFmtId="0" fontId="0" fillId="2" borderId="8" xfId="0" applyFill="1" applyBorder="1" applyAlignment="1" applyProtection="1">
      <alignment horizontal="left" vertical="center"/>
      <protection locked="0"/>
    </xf>
    <xf numFmtId="0" fontId="0" fillId="2" borderId="15" xfId="0" applyFill="1" applyBorder="1" applyAlignment="1" applyProtection="1">
      <alignment horizontal="left" vertical="center"/>
      <protection locked="0"/>
    </xf>
    <xf numFmtId="0" fontId="0" fillId="2" borderId="7" xfId="0" applyFill="1" applyBorder="1" applyAlignment="1" applyProtection="1">
      <alignment horizontal="left" vertical="center"/>
      <protection locked="0"/>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0" fillId="2" borderId="4" xfId="0" applyFill="1" applyBorder="1" applyAlignment="1" applyProtection="1">
      <alignment horizontal="left" vertical="center" wrapText="1"/>
      <protection locked="0"/>
    </xf>
    <xf numFmtId="0" fontId="0" fillId="2" borderId="5" xfId="0" applyFill="1" applyBorder="1" applyAlignment="1" applyProtection="1">
      <alignment horizontal="left" vertical="center" wrapText="1"/>
      <protection locked="0"/>
    </xf>
    <xf numFmtId="0" fontId="0" fillId="2" borderId="6" xfId="0" applyFill="1" applyBorder="1" applyAlignment="1" applyProtection="1">
      <alignment horizontal="left" vertical="center" wrapText="1"/>
      <protection locked="0"/>
    </xf>
    <xf numFmtId="1" fontId="8" fillId="0" borderId="5" xfId="0" applyNumberFormat="1" applyFont="1" applyFill="1" applyBorder="1" applyAlignment="1" applyProtection="1">
      <alignment horizontal="center" vertical="center"/>
    </xf>
    <xf numFmtId="1" fontId="8" fillId="0" borderId="6" xfId="0" applyNumberFormat="1" applyFont="1" applyFill="1" applyBorder="1" applyAlignment="1" applyProtection="1">
      <alignment horizontal="center" vertical="center"/>
    </xf>
    <xf numFmtId="1" fontId="8" fillId="0" borderId="15" xfId="0" applyNumberFormat="1" applyFont="1" applyFill="1" applyBorder="1" applyAlignment="1" applyProtection="1">
      <alignment horizontal="center" vertical="center"/>
    </xf>
    <xf numFmtId="1" fontId="8" fillId="0" borderId="7" xfId="0" applyNumberFormat="1" applyFont="1" applyFill="1" applyBorder="1" applyAlignment="1" applyProtection="1">
      <alignment horizontal="center" vertical="center"/>
    </xf>
    <xf numFmtId="0" fontId="4" fillId="2" borderId="8" xfId="0" applyFont="1" applyFill="1" applyBorder="1" applyAlignment="1" applyProtection="1">
      <alignment horizontal="center" vertical="center"/>
      <protection locked="0"/>
    </xf>
    <xf numFmtId="0" fontId="4" fillId="2" borderId="7" xfId="0" applyFont="1" applyFill="1" applyBorder="1" applyAlignment="1" applyProtection="1">
      <alignment horizontal="center" vertical="center"/>
      <protection locked="0"/>
    </xf>
    <xf numFmtId="0" fontId="4" fillId="2" borderId="9" xfId="0" applyFont="1" applyFill="1" applyBorder="1" applyAlignment="1" applyProtection="1">
      <alignment horizontal="center" vertical="center"/>
      <protection locked="0"/>
    </xf>
    <xf numFmtId="0" fontId="4" fillId="2" borderId="10" xfId="0" applyFont="1" applyFill="1" applyBorder="1" applyAlignment="1" applyProtection="1">
      <alignment horizontal="center" vertical="center"/>
      <protection locked="0"/>
    </xf>
    <xf numFmtId="0" fontId="4" fillId="2" borderId="12" xfId="0" applyFont="1" applyFill="1" applyBorder="1" applyAlignment="1" applyProtection="1">
      <alignment horizontal="center" vertical="center"/>
      <protection locked="0"/>
    </xf>
    <xf numFmtId="0" fontId="4" fillId="2" borderId="13" xfId="0" applyFont="1" applyFill="1" applyBorder="1" applyAlignment="1" applyProtection="1">
      <alignment horizontal="center" vertical="center"/>
      <protection locked="0"/>
    </xf>
    <xf numFmtId="0" fontId="8" fillId="0" borderId="0" xfId="0" applyFont="1" applyAlignment="1" applyProtection="1">
      <alignment horizontal="center" vertical="center"/>
      <protection locked="0"/>
    </xf>
    <xf numFmtId="0" fontId="0" fillId="0" borderId="8" xfId="0" applyFont="1" applyFill="1" applyBorder="1" applyAlignment="1">
      <alignment horizontal="center" vertical="center" wrapText="1"/>
    </xf>
    <xf numFmtId="0" fontId="0" fillId="0" borderId="63"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64" xfId="0" applyFont="1" applyFill="1" applyBorder="1" applyAlignment="1">
      <alignment horizontal="center" vertical="center" wrapText="1"/>
    </xf>
    <xf numFmtId="0" fontId="3" fillId="0" borderId="1" xfId="0" applyFont="1" applyBorder="1" applyAlignment="1">
      <alignment horizontal="center"/>
    </xf>
    <xf numFmtId="2" fontId="0" fillId="0" borderId="12" xfId="0" applyNumberFormat="1" applyFont="1" applyBorder="1" applyAlignment="1">
      <alignment horizontal="center" vertical="center"/>
    </xf>
    <xf numFmtId="2" fontId="0" fillId="0" borderId="4" xfId="0" applyNumberFormat="1" applyFont="1" applyBorder="1" applyAlignment="1">
      <alignment horizontal="center" vertical="center"/>
    </xf>
    <xf numFmtId="0" fontId="4" fillId="2" borderId="4" xfId="0" applyFont="1" applyFill="1" applyBorder="1" applyAlignment="1">
      <alignment horizontal="center"/>
    </xf>
    <xf numFmtId="0" fontId="4" fillId="2" borderId="5" xfId="0" applyFont="1" applyFill="1" applyBorder="1" applyAlignment="1">
      <alignment horizontal="center"/>
    </xf>
    <xf numFmtId="0" fontId="4" fillId="2" borderId="6" xfId="0" applyFont="1" applyFill="1" applyBorder="1" applyAlignment="1">
      <alignment horizontal="center"/>
    </xf>
    <xf numFmtId="1" fontId="8" fillId="0" borderId="25" xfId="0" applyNumberFormat="1" applyFont="1" applyBorder="1" applyAlignment="1" applyProtection="1">
      <alignment horizontal="center" vertical="center"/>
    </xf>
    <xf numFmtId="1" fontId="8" fillId="0" borderId="27" xfId="0" applyNumberFormat="1" applyFont="1" applyBorder="1" applyAlignment="1" applyProtection="1">
      <alignment horizontal="center" vertical="center"/>
    </xf>
    <xf numFmtId="0" fontId="3" fillId="0" borderId="19" xfId="0" applyFont="1" applyBorder="1" applyAlignment="1" applyProtection="1">
      <alignment horizontal="center"/>
    </xf>
    <xf numFmtId="0" fontId="3" fillId="0" borderId="20" xfId="0" applyFont="1" applyBorder="1" applyAlignment="1" applyProtection="1">
      <alignment horizontal="center"/>
    </xf>
    <xf numFmtId="0" fontId="3" fillId="0" borderId="21" xfId="0" applyFont="1" applyBorder="1" applyAlignment="1" applyProtection="1">
      <alignment horizontal="center"/>
    </xf>
    <xf numFmtId="0" fontId="1" fillId="0" borderId="1" xfId="0" applyFont="1" applyBorder="1" applyAlignment="1">
      <alignment horizontal="left" vertical="center"/>
    </xf>
    <xf numFmtId="0" fontId="0" fillId="13" borderId="8" xfId="0" applyFont="1" applyFill="1" applyBorder="1" applyAlignment="1" applyProtection="1">
      <alignment horizontal="center" vertical="center" wrapText="1"/>
    </xf>
    <xf numFmtId="0" fontId="0" fillId="13" borderId="15" xfId="0" applyFont="1" applyFill="1" applyBorder="1" applyAlignment="1" applyProtection="1">
      <alignment horizontal="center" vertical="center" wrapText="1"/>
    </xf>
    <xf numFmtId="0" fontId="0" fillId="13" borderId="7" xfId="0" applyFont="1" applyFill="1" applyBorder="1" applyAlignment="1" applyProtection="1">
      <alignment horizontal="center" vertical="center" wrapText="1"/>
    </xf>
    <xf numFmtId="0" fontId="0" fillId="13" borderId="12" xfId="0" applyFont="1" applyFill="1" applyBorder="1" applyAlignment="1" applyProtection="1">
      <alignment horizontal="center" vertical="center" wrapText="1"/>
    </xf>
    <xf numFmtId="0" fontId="0" fillId="13" borderId="11" xfId="0" applyFont="1" applyFill="1" applyBorder="1" applyAlignment="1" applyProtection="1">
      <alignment horizontal="center" vertical="center" wrapText="1"/>
    </xf>
    <xf numFmtId="0" fontId="0" fillId="13" borderId="13" xfId="0" applyFont="1" applyFill="1" applyBorder="1" applyAlignment="1" applyProtection="1">
      <alignment horizontal="center" vertical="center" wrapText="1"/>
    </xf>
    <xf numFmtId="0" fontId="1" fillId="0" borderId="2" xfId="0" applyFont="1" applyBorder="1" applyAlignment="1" applyProtection="1">
      <alignment horizontal="left" vertical="center" wrapText="1"/>
    </xf>
    <xf numFmtId="0" fontId="1" fillId="0" borderId="3" xfId="0" applyFont="1" applyBorder="1" applyAlignment="1" applyProtection="1">
      <alignment horizontal="left" vertical="center" wrapText="1"/>
    </xf>
    <xf numFmtId="0" fontId="8" fillId="0" borderId="23" xfId="0" applyFont="1" applyBorder="1" applyAlignment="1">
      <alignment horizontal="right" vertical="center" wrapText="1"/>
    </xf>
    <xf numFmtId="0" fontId="8" fillId="0" borderId="26" xfId="0" applyFont="1" applyBorder="1" applyAlignment="1">
      <alignment horizontal="right" vertical="center" wrapText="1"/>
    </xf>
    <xf numFmtId="0" fontId="8" fillId="0" borderId="26" xfId="0" applyFont="1" applyBorder="1" applyAlignment="1">
      <alignment horizontal="right" vertical="center"/>
    </xf>
    <xf numFmtId="0" fontId="8" fillId="0" borderId="24" xfId="0" applyFont="1" applyBorder="1" applyAlignment="1">
      <alignment horizontal="right" vertical="center"/>
    </xf>
    <xf numFmtId="14" fontId="0" fillId="13" borderId="4" xfId="0" applyNumberFormat="1" applyFont="1" applyFill="1" applyBorder="1" applyAlignment="1">
      <alignment horizontal="center"/>
    </xf>
    <xf numFmtId="14" fontId="0" fillId="13" borderId="5" xfId="0" applyNumberFormat="1" applyFont="1" applyFill="1" applyBorder="1" applyAlignment="1">
      <alignment horizontal="center"/>
    </xf>
    <xf numFmtId="14" fontId="0" fillId="13" borderId="6" xfId="0" applyNumberFormat="1" applyFont="1" applyFill="1" applyBorder="1" applyAlignment="1">
      <alignment horizontal="center"/>
    </xf>
    <xf numFmtId="0" fontId="0" fillId="13" borderId="8" xfId="0" applyFont="1" applyFill="1" applyBorder="1" applyAlignment="1">
      <alignment horizontal="center" vertical="center"/>
    </xf>
    <xf numFmtId="0" fontId="0" fillId="13" borderId="15" xfId="0" applyFont="1" applyFill="1" applyBorder="1" applyAlignment="1">
      <alignment horizontal="center" vertical="center"/>
    </xf>
    <xf numFmtId="0" fontId="0" fillId="13" borderId="7" xfId="0" applyFont="1" applyFill="1" applyBorder="1" applyAlignment="1">
      <alignment horizontal="center" vertical="center"/>
    </xf>
    <xf numFmtId="0" fontId="0" fillId="13" borderId="12" xfId="0" applyFont="1" applyFill="1" applyBorder="1" applyAlignment="1">
      <alignment horizontal="center" vertical="center"/>
    </xf>
    <xf numFmtId="0" fontId="0" fillId="13" borderId="11" xfId="0" applyFont="1" applyFill="1" applyBorder="1" applyAlignment="1">
      <alignment horizontal="center" vertical="center"/>
    </xf>
    <xf numFmtId="0" fontId="0" fillId="13" borderId="13" xfId="0" applyFont="1" applyFill="1" applyBorder="1" applyAlignment="1">
      <alignment horizontal="center" vertical="center"/>
    </xf>
    <xf numFmtId="0" fontId="0" fillId="0" borderId="62"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1" fillId="0" borderId="48" xfId="0" applyFont="1" applyBorder="1" applyAlignment="1">
      <alignment horizontal="center" vertical="center"/>
    </xf>
    <xf numFmtId="0" fontId="1" fillId="0" borderId="37" xfId="0" applyFont="1" applyBorder="1" applyAlignment="1">
      <alignment horizontal="center" vertical="center"/>
    </xf>
    <xf numFmtId="0" fontId="1" fillId="0" borderId="38" xfId="0" applyFont="1" applyBorder="1" applyAlignment="1">
      <alignment horizontal="center" vertical="center"/>
    </xf>
    <xf numFmtId="0" fontId="0" fillId="0" borderId="60" xfId="0" applyFont="1" applyFill="1" applyBorder="1" applyAlignment="1">
      <alignment horizontal="center" vertical="center" wrapText="1"/>
    </xf>
    <xf numFmtId="0" fontId="0" fillId="0" borderId="65"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40" xfId="0" applyFont="1" applyFill="1" applyBorder="1" applyAlignment="1">
      <alignment horizontal="center" vertical="center" wrapText="1"/>
    </xf>
    <xf numFmtId="0" fontId="0" fillId="0" borderId="49" xfId="0" applyFont="1" applyBorder="1" applyAlignment="1">
      <alignment horizontal="center" vertical="center" wrapText="1"/>
    </xf>
    <xf numFmtId="0" fontId="0" fillId="0" borderId="32" xfId="0" applyFont="1" applyBorder="1" applyAlignment="1">
      <alignment horizontal="center" vertical="center" wrapText="1"/>
    </xf>
    <xf numFmtId="0" fontId="0" fillId="0" borderId="50" xfId="0" applyFont="1" applyBorder="1" applyAlignment="1">
      <alignment horizontal="center" vertical="center" wrapText="1"/>
    </xf>
    <xf numFmtId="0" fontId="0" fillId="0" borderId="10" xfId="0" applyFont="1" applyBorder="1" applyAlignment="1">
      <alignment horizontal="center" vertical="center" wrapText="1"/>
    </xf>
    <xf numFmtId="0" fontId="0" fillId="0" borderId="51" xfId="0" applyFont="1" applyBorder="1" applyAlignment="1">
      <alignment horizontal="center" vertical="center" wrapText="1"/>
    </xf>
    <xf numFmtId="0" fontId="0" fillId="0" borderId="13" xfId="0" applyFont="1" applyBorder="1" applyAlignment="1">
      <alignment horizontal="center" vertical="center" wrapText="1"/>
    </xf>
    <xf numFmtId="0" fontId="4" fillId="12" borderId="4" xfId="0" applyFont="1" applyFill="1" applyBorder="1" applyAlignment="1">
      <alignment horizontal="center"/>
    </xf>
    <xf numFmtId="0" fontId="4" fillId="12" borderId="5" xfId="0" applyFont="1" applyFill="1" applyBorder="1" applyAlignment="1">
      <alignment horizontal="center"/>
    </xf>
    <xf numFmtId="0" fontId="4" fillId="12" borderId="6" xfId="0" applyFont="1" applyFill="1" applyBorder="1" applyAlignment="1">
      <alignment horizontal="center"/>
    </xf>
    <xf numFmtId="0" fontId="4" fillId="0" borderId="4" xfId="0" applyFont="1" applyBorder="1" applyAlignment="1">
      <alignment horizontal="center"/>
    </xf>
    <xf numFmtId="0" fontId="4" fillId="0" borderId="5" xfId="0" applyFont="1" applyBorder="1" applyAlignment="1">
      <alignment horizontal="center"/>
    </xf>
    <xf numFmtId="0" fontId="4" fillId="0" borderId="6" xfId="0" applyFont="1" applyBorder="1" applyAlignment="1">
      <alignment horizontal="center"/>
    </xf>
    <xf numFmtId="0" fontId="1" fillId="0" borderId="48" xfId="0" applyFont="1" applyFill="1" applyBorder="1" applyAlignment="1">
      <alignment horizontal="center" vertical="center" wrapText="1"/>
    </xf>
    <xf numFmtId="0" fontId="1" fillId="0" borderId="67" xfId="0" applyFont="1" applyFill="1" applyBorder="1" applyAlignment="1">
      <alignment horizontal="center" vertical="center" wrapText="1"/>
    </xf>
    <xf numFmtId="0" fontId="0" fillId="0" borderId="53" xfId="0" applyFont="1" applyBorder="1" applyAlignment="1" applyProtection="1">
      <alignment horizontal="center"/>
    </xf>
    <xf numFmtId="0" fontId="0" fillId="0" borderId="54" xfId="0" applyFont="1" applyBorder="1" applyAlignment="1" applyProtection="1">
      <alignment horizontal="center"/>
    </xf>
    <xf numFmtId="0" fontId="0" fillId="0" borderId="46" xfId="0" applyFont="1" applyBorder="1" applyAlignment="1" applyProtection="1">
      <alignment horizontal="center"/>
    </xf>
    <xf numFmtId="0" fontId="0" fillId="0" borderId="6" xfId="0" applyFont="1" applyBorder="1" applyAlignment="1" applyProtection="1">
      <alignment horizontal="center"/>
    </xf>
    <xf numFmtId="0" fontId="0" fillId="0" borderId="1" xfId="0" applyFont="1" applyFill="1" applyBorder="1" applyAlignment="1">
      <alignment vertical="center" wrapText="1"/>
    </xf>
    <xf numFmtId="0" fontId="10" fillId="0" borderId="55" xfId="0" applyFont="1" applyFill="1" applyBorder="1" applyAlignment="1">
      <alignment horizontal="center" vertical="center" wrapText="1"/>
    </xf>
    <xf numFmtId="0" fontId="10" fillId="0" borderId="69" xfId="0" applyFont="1" applyFill="1" applyBorder="1" applyAlignment="1">
      <alignment horizontal="center" vertical="center" wrapText="1"/>
    </xf>
    <xf numFmtId="0" fontId="1" fillId="0" borderId="37" xfId="0" applyFont="1" applyFill="1" applyBorder="1" applyAlignment="1">
      <alignment horizontal="center" vertical="center" wrapText="1"/>
    </xf>
    <xf numFmtId="0" fontId="1" fillId="0" borderId="38" xfId="0" applyFont="1" applyFill="1" applyBorder="1" applyAlignment="1">
      <alignment horizontal="center" vertical="center" wrapText="1"/>
    </xf>
    <xf numFmtId="0" fontId="1" fillId="0" borderId="55" xfId="0" applyFont="1" applyBorder="1" applyAlignment="1" applyProtection="1">
      <alignment horizontal="center"/>
    </xf>
    <xf numFmtId="0" fontId="1" fillId="0" borderId="56" xfId="0" applyFont="1" applyBorder="1" applyAlignment="1" applyProtection="1">
      <alignment horizontal="center"/>
    </xf>
    <xf numFmtId="0" fontId="1" fillId="0" borderId="36" xfId="0" applyFont="1" applyFill="1" applyBorder="1" applyAlignment="1">
      <alignment horizontal="center" vertical="center" wrapText="1"/>
    </xf>
    <xf numFmtId="0" fontId="0" fillId="0" borderId="42" xfId="0" applyFont="1" applyBorder="1" applyAlignment="1">
      <alignment horizontal="center" vertical="center" wrapText="1"/>
    </xf>
    <xf numFmtId="0" fontId="0" fillId="0" borderId="30" xfId="0" applyFont="1" applyBorder="1" applyAlignment="1">
      <alignment horizontal="center" vertical="center" wrapText="1"/>
    </xf>
    <xf numFmtId="0" fontId="0" fillId="0" borderId="52" xfId="0" applyFont="1" applyBorder="1" applyAlignment="1">
      <alignment horizontal="center" vertical="center" wrapText="1"/>
    </xf>
    <xf numFmtId="2" fontId="0" fillId="0" borderId="28" xfId="0" applyNumberFormat="1" applyFont="1" applyBorder="1" applyAlignment="1">
      <alignment horizontal="center" vertical="center"/>
    </xf>
    <xf numFmtId="0" fontId="0" fillId="0" borderId="3" xfId="0" applyFont="1" applyFill="1" applyBorder="1" applyAlignment="1">
      <alignment vertical="center" wrapText="1"/>
    </xf>
    <xf numFmtId="0" fontId="9" fillId="0" borderId="1" xfId="0" applyFont="1" applyFill="1" applyBorder="1" applyAlignment="1">
      <alignment vertical="center" wrapText="1"/>
    </xf>
    <xf numFmtId="0" fontId="0" fillId="0" borderId="66" xfId="0" applyFont="1" applyBorder="1" applyAlignment="1">
      <alignment horizontal="center" vertical="center" wrapText="1"/>
    </xf>
    <xf numFmtId="0" fontId="0" fillId="0" borderId="7" xfId="0" applyFont="1" applyBorder="1" applyAlignment="1">
      <alignment horizontal="center" vertical="center" wrapText="1"/>
    </xf>
    <xf numFmtId="0" fontId="0" fillId="0" borderId="55" xfId="0" applyFont="1" applyBorder="1" applyAlignment="1">
      <alignment horizontal="center" vertical="center" wrapText="1"/>
    </xf>
    <xf numFmtId="0" fontId="0" fillId="0" borderId="56" xfId="0" applyFont="1" applyBorder="1" applyAlignment="1">
      <alignment horizontal="center" vertical="center" wrapText="1"/>
    </xf>
    <xf numFmtId="0" fontId="10" fillId="0" borderId="36" xfId="0" applyFont="1" applyFill="1" applyBorder="1" applyAlignment="1">
      <alignment horizontal="center" vertical="center" wrapText="1"/>
    </xf>
    <xf numFmtId="0" fontId="10" fillId="0" borderId="37" xfId="0" applyFont="1" applyFill="1" applyBorder="1" applyAlignment="1">
      <alignment horizontal="center" vertical="center" wrapText="1"/>
    </xf>
    <xf numFmtId="0" fontId="10" fillId="0" borderId="67" xfId="0" applyFont="1" applyFill="1" applyBorder="1" applyAlignment="1">
      <alignment horizontal="center" vertical="center" wrapText="1"/>
    </xf>
    <xf numFmtId="0" fontId="0" fillId="0" borderId="47" xfId="0" applyFont="1" applyBorder="1" applyAlignment="1">
      <alignment horizontal="left" vertical="center" wrapText="1"/>
    </xf>
    <xf numFmtId="0" fontId="0" fillId="0" borderId="31" xfId="0" applyFont="1" applyBorder="1" applyAlignment="1">
      <alignment horizontal="left" vertical="center" wrapText="1"/>
    </xf>
    <xf numFmtId="0" fontId="0" fillId="0" borderId="43" xfId="0" applyFont="1" applyBorder="1" applyAlignment="1">
      <alignment horizontal="left" vertical="center" wrapText="1"/>
    </xf>
    <xf numFmtId="0" fontId="0" fillId="0" borderId="46" xfId="0" applyFont="1" applyBorder="1" applyAlignment="1">
      <alignment horizontal="left" vertical="center" wrapText="1"/>
    </xf>
    <xf numFmtId="0" fontId="0" fillId="0" borderId="5" xfId="0" applyFont="1" applyBorder="1" applyAlignment="1">
      <alignment horizontal="left" vertical="center" wrapText="1"/>
    </xf>
    <xf numFmtId="0" fontId="0" fillId="0" borderId="41" xfId="0" applyFont="1" applyBorder="1" applyAlignment="1">
      <alignment horizontal="left" vertical="center" wrapText="1"/>
    </xf>
    <xf numFmtId="0" fontId="0" fillId="0" borderId="2" xfId="0" applyFont="1" applyFill="1" applyBorder="1" applyAlignment="1">
      <alignment horizontal="center" vertical="center" wrapText="1"/>
    </xf>
    <xf numFmtId="0" fontId="0" fillId="0" borderId="46"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41" xfId="0" applyFont="1" applyFill="1" applyBorder="1" applyAlignment="1">
      <alignment horizontal="left" vertical="center" wrapText="1"/>
    </xf>
    <xf numFmtId="0" fontId="4" fillId="6" borderId="1" xfId="0" applyFont="1" applyFill="1" applyBorder="1" applyAlignment="1">
      <alignment horizontal="center" vertical="center"/>
    </xf>
    <xf numFmtId="0" fontId="4" fillId="5" borderId="2" xfId="0" applyFont="1" applyFill="1" applyBorder="1" applyAlignment="1">
      <alignment horizontal="left" vertical="center" wrapText="1"/>
    </xf>
    <xf numFmtId="0" fontId="4" fillId="5" borderId="14" xfId="0" applyFont="1" applyFill="1" applyBorder="1" applyAlignment="1">
      <alignment horizontal="left" vertical="center" wrapText="1"/>
    </xf>
    <xf numFmtId="0" fontId="4" fillId="5" borderId="3" xfId="0" applyFont="1" applyFill="1" applyBorder="1" applyAlignment="1">
      <alignment horizontal="left" vertical="center" wrapText="1"/>
    </xf>
    <xf numFmtId="0" fontId="4" fillId="5" borderId="2" xfId="0" applyFont="1" applyFill="1" applyBorder="1" applyAlignment="1">
      <alignment horizontal="center" vertical="center" textRotation="90"/>
    </xf>
    <xf numFmtId="0" fontId="4" fillId="5" borderId="14" xfId="0" applyFont="1" applyFill="1" applyBorder="1" applyAlignment="1">
      <alignment horizontal="center" vertical="center" textRotation="90"/>
    </xf>
    <xf numFmtId="0" fontId="4" fillId="5" borderId="3" xfId="0" applyFont="1" applyFill="1" applyBorder="1" applyAlignment="1">
      <alignment horizontal="center" vertical="center" textRotation="90"/>
    </xf>
    <xf numFmtId="0" fontId="4" fillId="11" borderId="2" xfId="0" applyFont="1" applyFill="1" applyBorder="1" applyAlignment="1">
      <alignment horizontal="left" vertical="center" wrapText="1"/>
    </xf>
    <xf numFmtId="0" fontId="4" fillId="11" borderId="3" xfId="0" applyFont="1" applyFill="1" applyBorder="1" applyAlignment="1">
      <alignment horizontal="left" vertical="center" wrapText="1"/>
    </xf>
    <xf numFmtId="0" fontId="6" fillId="0" borderId="9" xfId="0" applyFont="1" applyBorder="1" applyAlignment="1">
      <alignment horizontal="left" vertical="center" wrapText="1"/>
    </xf>
    <xf numFmtId="0" fontId="6" fillId="0" borderId="0" xfId="0" applyFont="1" applyBorder="1" applyAlignment="1">
      <alignment horizontal="left" vertical="center" wrapText="1"/>
    </xf>
    <xf numFmtId="0" fontId="6" fillId="0" borderId="10" xfId="0" applyFont="1" applyBorder="1" applyAlignment="1">
      <alignment horizontal="left" vertical="center" wrapTex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2" xfId="0" applyFont="1" applyFill="1" applyBorder="1" applyAlignment="1">
      <alignment horizontal="left" vertical="center" wrapText="1"/>
    </xf>
    <xf numFmtId="0" fontId="4" fillId="3" borderId="3" xfId="0" applyFont="1" applyFill="1" applyBorder="1" applyAlignment="1">
      <alignment horizontal="left" vertical="center" wrapText="1"/>
    </xf>
    <xf numFmtId="0" fontId="4" fillId="4" borderId="1" xfId="0" applyFont="1" applyFill="1" applyBorder="1" applyAlignment="1">
      <alignment horizontal="center" vertical="center"/>
    </xf>
    <xf numFmtId="0" fontId="4" fillId="4" borderId="2" xfId="0" applyFont="1" applyFill="1" applyBorder="1" applyAlignment="1">
      <alignment horizontal="left" vertical="center" wrapText="1"/>
    </xf>
    <xf numFmtId="0" fontId="4" fillId="4" borderId="3" xfId="0" applyFont="1" applyFill="1" applyBorder="1" applyAlignment="1">
      <alignment horizontal="left" vertical="center" wrapText="1"/>
    </xf>
    <xf numFmtId="0" fontId="4" fillId="3" borderId="1" xfId="0" applyFont="1" applyFill="1" applyBorder="1" applyAlignment="1">
      <alignment vertical="center" wrapText="1"/>
    </xf>
    <xf numFmtId="0" fontId="4" fillId="4" borderId="1" xfId="0" applyFont="1" applyFill="1" applyBorder="1" applyAlignment="1">
      <alignment vertical="center" wrapText="1"/>
    </xf>
    <xf numFmtId="0" fontId="4" fillId="11" borderId="1" xfId="0" applyFont="1" applyFill="1" applyBorder="1" applyAlignment="1">
      <alignment horizontal="center" vertical="center" textRotation="90"/>
    </xf>
    <xf numFmtId="0" fontId="4" fillId="11" borderId="14" xfId="0" applyFont="1" applyFill="1" applyBorder="1" applyAlignment="1">
      <alignment horizontal="left" vertical="center" wrapText="1"/>
    </xf>
    <xf numFmtId="0" fontId="4" fillId="11" borderId="1" xfId="0" applyFont="1" applyFill="1" applyBorder="1" applyAlignment="1">
      <alignment horizontal="left" vertical="center" wrapText="1"/>
    </xf>
    <xf numFmtId="0" fontId="4" fillId="4" borderId="14" xfId="0" applyFont="1" applyFill="1" applyBorder="1" applyAlignment="1">
      <alignment horizontal="left" vertical="center"/>
    </xf>
    <xf numFmtId="0" fontId="4" fillId="4" borderId="3" xfId="0" applyFont="1" applyFill="1" applyBorder="1" applyAlignment="1">
      <alignment horizontal="left" vertical="center"/>
    </xf>
    <xf numFmtId="2" fontId="4" fillId="5" borderId="2" xfId="0" applyNumberFormat="1" applyFont="1" applyFill="1" applyBorder="1" applyAlignment="1">
      <alignment horizontal="center" vertical="center"/>
    </xf>
    <xf numFmtId="2" fontId="4" fillId="5" borderId="3" xfId="0" applyNumberFormat="1" applyFont="1" applyFill="1" applyBorder="1" applyAlignment="1">
      <alignment horizontal="center" vertical="center"/>
    </xf>
    <xf numFmtId="2" fontId="4" fillId="4" borderId="2" xfId="0" applyNumberFormat="1" applyFont="1" applyFill="1" applyBorder="1" applyAlignment="1">
      <alignment horizontal="center" vertical="center"/>
    </xf>
    <xf numFmtId="2" fontId="4" fillId="4" borderId="14" xfId="0" applyNumberFormat="1" applyFont="1" applyFill="1" applyBorder="1" applyAlignment="1">
      <alignment horizontal="center" vertical="center"/>
    </xf>
    <xf numFmtId="2" fontId="4" fillId="4" borderId="3" xfId="0" applyNumberFormat="1" applyFont="1" applyFill="1" applyBorder="1" applyAlignment="1">
      <alignment horizontal="center" vertical="center"/>
    </xf>
    <xf numFmtId="2" fontId="4" fillId="0" borderId="2" xfId="0" applyNumberFormat="1" applyFont="1" applyBorder="1" applyAlignment="1">
      <alignment horizontal="center" vertical="center" wrapText="1"/>
    </xf>
    <xf numFmtId="2" fontId="4" fillId="0" borderId="14" xfId="0" applyNumberFormat="1" applyFont="1" applyBorder="1" applyAlignment="1">
      <alignment horizontal="center" vertical="center" wrapText="1"/>
    </xf>
    <xf numFmtId="2" fontId="4" fillId="0" borderId="3" xfId="0" applyNumberFormat="1" applyFont="1" applyBorder="1" applyAlignment="1">
      <alignment horizontal="center" vertical="center" wrapText="1"/>
    </xf>
    <xf numFmtId="0" fontId="4" fillId="5" borderId="2" xfId="0" applyFont="1" applyFill="1" applyBorder="1" applyAlignment="1">
      <alignment horizontal="left" vertical="center"/>
    </xf>
    <xf numFmtId="0" fontId="4" fillId="5" borderId="3" xfId="0" applyFont="1" applyFill="1" applyBorder="1" applyAlignment="1">
      <alignment horizontal="left" vertical="center"/>
    </xf>
    <xf numFmtId="2" fontId="4" fillId="5" borderId="1" xfId="0" applyNumberFormat="1" applyFont="1" applyFill="1" applyBorder="1" applyAlignment="1">
      <alignment horizontal="center" vertical="center"/>
    </xf>
    <xf numFmtId="2" fontId="4" fillId="11" borderId="2" xfId="0" applyNumberFormat="1" applyFont="1" applyFill="1" applyBorder="1" applyAlignment="1">
      <alignment horizontal="center" vertical="center"/>
    </xf>
    <xf numFmtId="2" fontId="4" fillId="11" borderId="3" xfId="0" applyNumberFormat="1" applyFont="1" applyFill="1" applyBorder="1" applyAlignment="1">
      <alignment horizontal="center" vertical="center"/>
    </xf>
    <xf numFmtId="0" fontId="4" fillId="12" borderId="4" xfId="0" applyFont="1" applyFill="1" applyBorder="1" applyAlignment="1" applyProtection="1">
      <alignment horizontal="center" vertical="center" wrapText="1"/>
      <protection locked="0"/>
    </xf>
    <xf numFmtId="0" fontId="4" fillId="12" borderId="6" xfId="0" applyFont="1" applyFill="1" applyBorder="1" applyAlignment="1" applyProtection="1">
      <alignment horizontal="center" vertical="center" wrapText="1"/>
      <protection locked="0"/>
    </xf>
    <xf numFmtId="0" fontId="4" fillId="5" borderId="14" xfId="0" applyFont="1" applyFill="1" applyBorder="1" applyAlignment="1">
      <alignment horizontal="left" vertical="center"/>
    </xf>
    <xf numFmtId="2" fontId="4" fillId="5" borderId="14" xfId="0" applyNumberFormat="1" applyFont="1" applyFill="1" applyBorder="1" applyAlignment="1">
      <alignment horizontal="center" vertical="center"/>
    </xf>
    <xf numFmtId="2" fontId="4" fillId="5" borderId="10" xfId="0" applyNumberFormat="1" applyFont="1" applyFill="1" applyBorder="1" applyAlignment="1">
      <alignment horizontal="center" vertical="center"/>
    </xf>
    <xf numFmtId="0" fontId="4" fillId="0" borderId="1" xfId="0" applyFont="1" applyBorder="1" applyAlignment="1">
      <alignment vertical="center" wrapText="1"/>
    </xf>
    <xf numFmtId="0" fontId="3" fillId="0" borderId="1" xfId="0" applyFont="1" applyFill="1" applyBorder="1" applyAlignment="1">
      <alignment horizontal="center"/>
    </xf>
    <xf numFmtId="0" fontId="5" fillId="0" borderId="4" xfId="0" applyFont="1" applyBorder="1" applyAlignment="1">
      <alignment horizontal="center"/>
    </xf>
    <xf numFmtId="0" fontId="5" fillId="0" borderId="5" xfId="0" applyFont="1" applyBorder="1" applyAlignment="1">
      <alignment horizontal="center"/>
    </xf>
    <xf numFmtId="0" fontId="4" fillId="6" borderId="2" xfId="0" applyFont="1" applyFill="1" applyBorder="1" applyAlignment="1">
      <alignment horizontal="left" vertical="center"/>
    </xf>
    <xf numFmtId="0" fontId="4" fillId="6" borderId="3" xfId="0" applyFont="1" applyFill="1" applyBorder="1" applyAlignment="1">
      <alignment horizontal="left" vertical="center"/>
    </xf>
    <xf numFmtId="2" fontId="4" fillId="6" borderId="2" xfId="0" applyNumberFormat="1" applyFont="1" applyFill="1" applyBorder="1" applyAlignment="1">
      <alignment horizontal="center" vertical="center"/>
    </xf>
    <xf numFmtId="2" fontId="4" fillId="6" borderId="3" xfId="0" applyNumberFormat="1" applyFont="1" applyFill="1" applyBorder="1" applyAlignment="1">
      <alignment horizontal="center"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2" fontId="4" fillId="0" borderId="2" xfId="0" applyNumberFormat="1" applyFont="1" applyBorder="1" applyAlignment="1">
      <alignment horizontal="center" vertical="center"/>
    </xf>
    <xf numFmtId="2" fontId="4" fillId="0" borderId="14" xfId="0" applyNumberFormat="1" applyFont="1" applyBorder="1" applyAlignment="1">
      <alignment horizontal="center" vertical="center"/>
    </xf>
    <xf numFmtId="2" fontId="4" fillId="0" borderId="3" xfId="0" applyNumberFormat="1" applyFont="1" applyBorder="1" applyAlignment="1">
      <alignment horizontal="center" vertical="center"/>
    </xf>
    <xf numFmtId="0" fontId="4" fillId="11" borderId="2" xfId="0" applyFont="1" applyFill="1" applyBorder="1" applyAlignment="1">
      <alignment horizontal="left" vertical="center"/>
    </xf>
    <xf numFmtId="0" fontId="4" fillId="11" borderId="14" xfId="0" applyFont="1" applyFill="1" applyBorder="1" applyAlignment="1">
      <alignment horizontal="left" vertical="center"/>
    </xf>
    <xf numFmtId="0" fontId="4" fillId="11" borderId="3" xfId="0" applyFont="1" applyFill="1" applyBorder="1" applyAlignment="1">
      <alignment horizontal="left" vertical="center"/>
    </xf>
    <xf numFmtId="2" fontId="4" fillId="11" borderId="14" xfId="0" applyNumberFormat="1" applyFont="1" applyFill="1" applyBorder="1" applyAlignment="1">
      <alignment horizontal="center" vertical="center"/>
    </xf>
    <xf numFmtId="0" fontId="4" fillId="0" borderId="14" xfId="0" applyFont="1" applyBorder="1" applyAlignment="1">
      <alignment horizontal="center" vertical="center" wrapText="1"/>
    </xf>
    <xf numFmtId="0" fontId="4" fillId="11" borderId="9" xfId="0" applyFont="1" applyFill="1" applyBorder="1" applyAlignment="1">
      <alignment horizontal="left" vertical="center"/>
    </xf>
    <xf numFmtId="0" fontId="4" fillId="11" borderId="12" xfId="0" applyFont="1" applyFill="1" applyBorder="1" applyAlignment="1">
      <alignment horizontal="left" vertical="center"/>
    </xf>
    <xf numFmtId="0" fontId="4" fillId="3" borderId="14" xfId="0" applyFont="1" applyFill="1" applyBorder="1" applyAlignment="1">
      <alignment horizontal="left" vertical="center"/>
    </xf>
    <xf numFmtId="0" fontId="4" fillId="3" borderId="3" xfId="0" applyFont="1" applyFill="1" applyBorder="1" applyAlignment="1">
      <alignment horizontal="left" vertical="center"/>
    </xf>
    <xf numFmtId="0" fontId="4" fillId="3" borderId="8" xfId="0" applyFont="1" applyFill="1" applyBorder="1" applyAlignment="1">
      <alignment horizontal="left" vertical="center"/>
    </xf>
    <xf numFmtId="0" fontId="4" fillId="3" borderId="12" xfId="0" applyFont="1" applyFill="1" applyBorder="1" applyAlignment="1">
      <alignment horizontal="left" vertical="center"/>
    </xf>
    <xf numFmtId="2" fontId="4" fillId="3" borderId="2" xfId="0" applyNumberFormat="1" applyFont="1" applyFill="1" applyBorder="1" applyAlignment="1">
      <alignment horizontal="center" vertical="center"/>
    </xf>
    <xf numFmtId="2" fontId="4" fillId="3" borderId="3" xfId="0" applyNumberFormat="1" applyFont="1" applyFill="1" applyBorder="1" applyAlignment="1">
      <alignment horizontal="center" vertical="center"/>
    </xf>
    <xf numFmtId="0" fontId="4" fillId="0" borderId="1" xfId="0" applyFont="1" applyBorder="1" applyAlignment="1">
      <alignment horizontal="center" vertical="center" wrapText="1"/>
    </xf>
    <xf numFmtId="0" fontId="4" fillId="4" borderId="2" xfId="0" applyFont="1" applyFill="1" applyBorder="1" applyAlignment="1">
      <alignment horizontal="left" vertical="center"/>
    </xf>
    <xf numFmtId="0" fontId="3" fillId="0" borderId="4" xfId="0" applyFont="1" applyFill="1" applyBorder="1" applyAlignment="1">
      <alignment horizontal="center" wrapText="1"/>
    </xf>
    <xf numFmtId="0" fontId="3" fillId="0" borderId="5" xfId="0" applyFont="1" applyFill="1" applyBorder="1" applyAlignment="1">
      <alignment horizontal="center" wrapText="1"/>
    </xf>
    <xf numFmtId="0" fontId="3" fillId="0" borderId="6" xfId="0" applyFont="1" applyFill="1" applyBorder="1" applyAlignment="1">
      <alignment horizontal="center" wrapText="1"/>
    </xf>
    <xf numFmtId="0" fontId="4" fillId="0" borderId="4" xfId="0" applyFont="1" applyBorder="1" applyAlignment="1">
      <alignment horizontal="left" vertical="center" wrapText="1"/>
    </xf>
    <xf numFmtId="0" fontId="4" fillId="0" borderId="6" xfId="0" applyFont="1" applyBorder="1" applyAlignment="1">
      <alignment horizontal="left" vertical="center" wrapText="1"/>
    </xf>
    <xf numFmtId="166" fontId="5" fillId="0" borderId="8" xfId="0" applyNumberFormat="1" applyFont="1" applyFill="1" applyBorder="1" applyAlignment="1">
      <alignment horizontal="center"/>
    </xf>
    <xf numFmtId="166" fontId="5" fillId="0" borderId="15" xfId="0" applyNumberFormat="1" applyFont="1" applyFill="1" applyBorder="1" applyAlignment="1">
      <alignment horizontal="center"/>
    </xf>
    <xf numFmtId="166" fontId="5" fillId="0" borderId="7" xfId="0" applyNumberFormat="1" applyFont="1" applyFill="1" applyBorder="1" applyAlignment="1">
      <alignment horizontal="center"/>
    </xf>
    <xf numFmtId="0" fontId="0" fillId="10" borderId="0" xfId="0" applyFill="1" applyAlignment="1">
      <alignment horizontal="center"/>
    </xf>
    <xf numFmtId="0" fontId="1" fillId="0" borderId="11" xfId="0" applyFont="1" applyBorder="1" applyAlignment="1">
      <alignment horizontal="center" vertical="top" wrapText="1"/>
    </xf>
    <xf numFmtId="0" fontId="1" fillId="0" borderId="13" xfId="0" applyFont="1" applyBorder="1" applyAlignment="1">
      <alignment horizontal="center" vertical="top" wrapText="1"/>
    </xf>
    <xf numFmtId="0" fontId="5" fillId="0" borderId="15" xfId="0" applyFont="1" applyBorder="1" applyAlignment="1">
      <alignment horizontal="center"/>
    </xf>
    <xf numFmtId="0" fontId="5" fillId="0" borderId="8" xfId="0" applyFont="1" applyBorder="1" applyAlignment="1">
      <alignment horizontal="center"/>
    </xf>
    <xf numFmtId="0" fontId="5" fillId="0" borderId="7" xfId="0" applyFont="1" applyBorder="1" applyAlignment="1">
      <alignment horizontal="center"/>
    </xf>
    <xf numFmtId="0" fontId="0" fillId="0" borderId="0" xfId="0" applyAlignment="1">
      <alignment horizontal="center" wrapText="1"/>
    </xf>
    <xf numFmtId="0" fontId="0" fillId="0" borderId="0" xfId="0" applyAlignment="1">
      <alignment horizontal="center"/>
    </xf>
    <xf numFmtId="0" fontId="0" fillId="0" borderId="0" xfId="0" applyBorder="1" applyAlignment="1">
      <alignment horizontal="center"/>
    </xf>
    <xf numFmtId="0" fontId="0" fillId="0" borderId="10" xfId="0" applyBorder="1" applyAlignment="1">
      <alignment horizontal="center"/>
    </xf>
  </cellXfs>
  <cellStyles count="4">
    <cellStyle name="40% - Accent1" xfId="2" builtinId="31"/>
    <cellStyle name="Normal" xfId="0" builtinId="0"/>
    <cellStyle name="Normal 2" xfId="1" xr:uid="{00000000-0005-0000-0000-000002000000}"/>
    <cellStyle name="Percent" xfId="3" builtinId="5"/>
  </cellStyles>
  <dxfs count="902">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ont>
        <strike val="0"/>
        <color auto="1"/>
      </font>
      <fill>
        <patternFill patternType="solid">
          <bgColor rgb="FFFF7C8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ont>
        <strike val="0"/>
        <color auto="1"/>
      </font>
      <fill>
        <patternFill patternType="solid">
          <bgColor rgb="FFFF7C8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ont>
        <strike val="0"/>
        <color auto="1"/>
      </font>
      <fill>
        <patternFill patternType="solid">
          <bgColor rgb="FFFF7C8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ont>
        <strike val="0"/>
        <color auto="1"/>
      </font>
      <fill>
        <patternFill patternType="solid">
          <bgColor rgb="FFFF7C8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ont>
        <strike val="0"/>
        <color auto="1"/>
      </font>
      <fill>
        <patternFill patternType="solid">
          <bgColor rgb="FFFF7C8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ont>
        <strike val="0"/>
        <color auto="1"/>
      </font>
      <fill>
        <patternFill patternType="solid">
          <bgColor rgb="FFFF7C8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ont>
        <strike val="0"/>
        <color auto="1"/>
      </font>
      <fill>
        <patternFill patternType="solid">
          <bgColor rgb="FFFF7C8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ont>
        <strike val="0"/>
        <color auto="1"/>
      </font>
      <fill>
        <patternFill patternType="solid">
          <bgColor rgb="FFFF7C8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ont>
        <strike val="0"/>
        <color auto="1"/>
      </font>
      <fill>
        <patternFill patternType="solid">
          <bgColor rgb="FFFF7C8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ont>
        <strike val="0"/>
        <color auto="1"/>
      </font>
      <fill>
        <patternFill patternType="solid">
          <bgColor rgb="FFFF7C80"/>
        </patternFill>
      </fill>
    </dxf>
    <dxf>
      <fill>
        <patternFill>
          <bgColor theme="7" tint="0.39994506668294322"/>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00B050"/>
        </patternFill>
      </fill>
    </dxf>
    <dxf>
      <font>
        <strike val="0"/>
        <color auto="1"/>
      </font>
      <fill>
        <patternFill patternType="solid">
          <bgColor rgb="FFFF0000"/>
        </patternFill>
      </fill>
    </dxf>
    <dxf>
      <fill>
        <patternFill>
          <bgColor rgb="FFFFFF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F7C80"/>
      <color rgb="FFE17C80"/>
      <color rgb="FFFCE4D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a:t>
            </a:r>
            <a:r>
              <a:rPr lang="en-US" baseline="0"/>
              <a:t> Impervious Cover</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0.13899831881942171"/>
                  <c:y val="-0.3508690280639740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Standards'!#REF!</c:f>
            </c:numRef>
          </c:xVal>
          <c:yVal>
            <c:numRef>
              <c:f>'Reference Standards'!#REF!</c:f>
              <c:numCache>
                <c:formatCode>General</c:formatCode>
                <c:ptCount val="1"/>
                <c:pt idx="0">
                  <c:v>1</c:v>
                </c:pt>
              </c:numCache>
            </c:numRef>
          </c:yVal>
          <c:smooth val="0"/>
          <c:extLst>
            <c:ext xmlns:c16="http://schemas.microsoft.com/office/drawing/2014/chart" uri="{C3380CC4-5D6E-409C-BE32-E72D297353CC}">
              <c16:uniqueId val="{00000001-841D-459E-B2E3-19AF3F9BAD82}"/>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5.9288715306053522E-2"/>
                  <c:y val="-0.18373373776166552"/>
                </c:manualLayout>
              </c:layout>
              <c:numFmt formatCode="#,##0.000000"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Standards'!#REF!</c:f>
            </c:numRef>
          </c:xVal>
          <c:yVal>
            <c:numRef>
              <c:f>'Reference Standards'!#REF!</c:f>
              <c:numCache>
                <c:formatCode>General</c:formatCode>
                <c:ptCount val="1"/>
                <c:pt idx="0">
                  <c:v>1</c:v>
                </c:pt>
              </c:numCache>
            </c:numRef>
          </c:yVal>
          <c:smooth val="0"/>
          <c:extLst>
            <c:ext xmlns:c16="http://schemas.microsoft.com/office/drawing/2014/chart" uri="{C3380CC4-5D6E-409C-BE32-E72D297353CC}">
              <c16:uniqueId val="{00000003-841D-459E-B2E3-19AF3F9BAD82}"/>
            </c:ext>
          </c:extLst>
        </c:ser>
        <c:dLbls>
          <c:showLegendKey val="0"/>
          <c:showVal val="0"/>
          <c:showCatName val="0"/>
          <c:showSerName val="0"/>
          <c:showPercent val="0"/>
          <c:showBubbleSize val="0"/>
        </c:dLbls>
        <c:axId val="409643520"/>
        <c:axId val="409643912"/>
      </c:scatterChart>
      <c:valAx>
        <c:axId val="409643520"/>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09643912"/>
        <c:crosses val="autoZero"/>
        <c:crossBetween val="midCat"/>
      </c:valAx>
      <c:valAx>
        <c:axId val="409643912"/>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09643520"/>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29028</xdr:colOff>
      <xdr:row>91</xdr:row>
      <xdr:rowOff>0</xdr:rowOff>
    </xdr:from>
    <xdr:to>
      <xdr:col>2</xdr:col>
      <xdr:colOff>0</xdr:colOff>
      <xdr:row>91</xdr:row>
      <xdr:rowOff>0</xdr:rowOff>
    </xdr:to>
    <xdr:graphicFrame macro="">
      <xdr:nvGraphicFramePr>
        <xdr:cNvPr id="2" name="Chart 1">
          <a:extLst>
            <a:ext uri="{FF2B5EF4-FFF2-40B4-BE49-F238E27FC236}">
              <a16:creationId xmlns:a16="http://schemas.microsoft.com/office/drawing/2014/main" id="{9F8C9156-ECB9-45FE-B16F-6FF6EBBCAF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Shared\EPR%20Folder\SC\SQT\Final%20SQT%20v1%20-%202021-02-26%20Deliverable\SC%20SQT%20v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ject Summary"/>
      <sheetName val="Catchment Assessment"/>
      <sheetName val="Parameter and Metric Selection"/>
      <sheetName val="Quantification_Tool"/>
      <sheetName val="Pull Down Notes"/>
      <sheetName val="Reference Curves"/>
    </sheetNames>
    <sheetDataSet>
      <sheetData sheetId="0" refreshError="1"/>
      <sheetData sheetId="1" refreshError="1"/>
      <sheetData sheetId="2" refreshError="1"/>
      <sheetData sheetId="3" refreshError="1"/>
      <sheetData sheetId="4">
        <row r="2">
          <cell r="B2" t="str">
            <v>A</v>
          </cell>
        </row>
        <row r="3">
          <cell r="B3" t="str">
            <v>Ba</v>
          </cell>
        </row>
        <row r="4">
          <cell r="B4" t="str">
            <v>B</v>
          </cell>
        </row>
        <row r="5">
          <cell r="B5" t="str">
            <v>Bc</v>
          </cell>
        </row>
        <row r="6">
          <cell r="B6" t="str">
            <v>C</v>
          </cell>
        </row>
        <row r="7">
          <cell r="B7" t="str">
            <v>Cb</v>
          </cell>
        </row>
        <row r="8">
          <cell r="B8" t="str">
            <v>E</v>
          </cell>
        </row>
        <row r="9">
          <cell r="B9" t="str">
            <v>Eb</v>
          </cell>
        </row>
        <row r="10">
          <cell r="B10" t="str">
            <v>F</v>
          </cell>
        </row>
        <row r="11">
          <cell r="B11" t="str">
            <v>Fb</v>
          </cell>
        </row>
        <row r="12">
          <cell r="B12" t="str">
            <v>G</v>
          </cell>
        </row>
        <row r="13">
          <cell r="B13" t="str">
            <v>Gc</v>
          </cell>
        </row>
        <row r="14">
          <cell r="B14" t="str">
            <v>D</v>
          </cell>
        </row>
        <row r="15">
          <cell r="B15" t="str">
            <v>DA</v>
          </cell>
        </row>
        <row r="18">
          <cell r="B18" t="str">
            <v>Silt/Clay</v>
          </cell>
        </row>
        <row r="19">
          <cell r="B19" t="str">
            <v>Sand</v>
          </cell>
        </row>
        <row r="20">
          <cell r="B20" t="str">
            <v>Gravel</v>
          </cell>
        </row>
        <row r="21">
          <cell r="B21" t="str">
            <v>Cobble</v>
          </cell>
        </row>
        <row r="22">
          <cell r="B22" t="str">
            <v>Boulder</v>
          </cell>
        </row>
        <row r="23">
          <cell r="B23" t="str">
            <v>Bedrock</v>
          </cell>
        </row>
        <row r="26">
          <cell r="B26" t="str">
            <v>Perennial</v>
          </cell>
        </row>
        <row r="27">
          <cell r="B27" t="str">
            <v>Intermittent</v>
          </cell>
        </row>
        <row r="28">
          <cell r="B28" t="str">
            <v>Ephemeral</v>
          </cell>
        </row>
        <row r="31">
          <cell r="B31" t="str">
            <v>VL/VL</v>
          </cell>
        </row>
        <row r="32">
          <cell r="B32" t="str">
            <v>VL/L</v>
          </cell>
        </row>
        <row r="33">
          <cell r="B33" t="str">
            <v>VL/M</v>
          </cell>
        </row>
        <row r="34">
          <cell r="B34" t="str">
            <v>VL/H</v>
          </cell>
        </row>
        <row r="35">
          <cell r="B35" t="str">
            <v>VL/VH</v>
          </cell>
        </row>
        <row r="36">
          <cell r="B36" t="str">
            <v>VL/Ex</v>
          </cell>
        </row>
        <row r="37">
          <cell r="B37" t="str">
            <v>L/VL</v>
          </cell>
        </row>
        <row r="38">
          <cell r="B38" t="str">
            <v>L/L</v>
          </cell>
        </row>
        <row r="39">
          <cell r="B39" t="str">
            <v>L/M</v>
          </cell>
        </row>
        <row r="40">
          <cell r="B40" t="str">
            <v>L/H</v>
          </cell>
        </row>
        <row r="41">
          <cell r="B41" t="str">
            <v>L/VH</v>
          </cell>
        </row>
        <row r="42">
          <cell r="B42" t="str">
            <v>L/Ex</v>
          </cell>
        </row>
        <row r="43">
          <cell r="B43" t="str">
            <v>M/VL</v>
          </cell>
        </row>
        <row r="44">
          <cell r="B44" t="str">
            <v>M/L</v>
          </cell>
        </row>
        <row r="45">
          <cell r="B45" t="str">
            <v>M/M</v>
          </cell>
        </row>
        <row r="46">
          <cell r="B46" t="str">
            <v>M/H</v>
          </cell>
        </row>
        <row r="47">
          <cell r="B47" t="str">
            <v>M/VH</v>
          </cell>
        </row>
        <row r="48">
          <cell r="B48" t="str">
            <v>M/Ex</v>
          </cell>
        </row>
        <row r="49">
          <cell r="B49" t="str">
            <v>H/VL</v>
          </cell>
        </row>
        <row r="50">
          <cell r="B50" t="str">
            <v>H/L</v>
          </cell>
        </row>
        <row r="51">
          <cell r="B51" t="str">
            <v>H/M</v>
          </cell>
        </row>
        <row r="52">
          <cell r="B52" t="str">
            <v>H/H</v>
          </cell>
        </row>
        <row r="53">
          <cell r="B53" t="str">
            <v>H/VH</v>
          </cell>
        </row>
        <row r="54">
          <cell r="B54" t="str">
            <v>H/Ex</v>
          </cell>
        </row>
        <row r="55">
          <cell r="B55" t="str">
            <v>VH/VL</v>
          </cell>
        </row>
        <row r="56">
          <cell r="B56" t="str">
            <v>VH/L</v>
          </cell>
        </row>
        <row r="57">
          <cell r="B57" t="str">
            <v>VH/M</v>
          </cell>
        </row>
        <row r="58">
          <cell r="B58" t="str">
            <v>VH/H</v>
          </cell>
        </row>
        <row r="59">
          <cell r="B59" t="str">
            <v>VH/VH</v>
          </cell>
        </row>
        <row r="60">
          <cell r="B60" t="str">
            <v>VH/Ex</v>
          </cell>
        </row>
        <row r="61">
          <cell r="B61" t="str">
            <v>Ex/VL</v>
          </cell>
        </row>
        <row r="62">
          <cell r="B62" t="str">
            <v>Ex/L</v>
          </cell>
        </row>
        <row r="63">
          <cell r="B63" t="str">
            <v>Ex/M</v>
          </cell>
        </row>
        <row r="64">
          <cell r="B64" t="str">
            <v>Ex/H</v>
          </cell>
        </row>
        <row r="65">
          <cell r="B65" t="str">
            <v>Ex/VH</v>
          </cell>
        </row>
        <row r="66">
          <cell r="B66" t="str">
            <v>Ex/Ex</v>
          </cell>
        </row>
        <row r="69">
          <cell r="B69" t="str">
            <v>Full</v>
          </cell>
        </row>
        <row r="70">
          <cell r="B70" t="str">
            <v>Partial</v>
          </cell>
        </row>
        <row r="73">
          <cell r="B73" t="str">
            <v>Blue Ridge Mountains</v>
          </cell>
        </row>
        <row r="74">
          <cell r="B74" t="str">
            <v>Piedmont</v>
          </cell>
        </row>
        <row r="75">
          <cell r="B75" t="str">
            <v>Southeastern Plains</v>
          </cell>
        </row>
        <row r="76">
          <cell r="B76" t="str">
            <v>Coastal Plains</v>
          </cell>
        </row>
        <row r="82">
          <cell r="B82" t="str">
            <v>Mitigation - Credits</v>
          </cell>
        </row>
        <row r="83">
          <cell r="B83" t="str">
            <v>Mitigation - Debits</v>
          </cell>
        </row>
        <row r="84">
          <cell r="B84" t="str">
            <v>TMDL</v>
          </cell>
        </row>
        <row r="85">
          <cell r="B85" t="str">
            <v>Grant</v>
          </cell>
        </row>
        <row r="86">
          <cell r="B86" t="str">
            <v>Other</v>
          </cell>
        </row>
        <row r="89">
          <cell r="B89" t="str">
            <v>Broad</v>
          </cell>
        </row>
        <row r="90">
          <cell r="B90" t="str">
            <v>Catawba</v>
          </cell>
        </row>
        <row r="91">
          <cell r="B91" t="str">
            <v>Saluda</v>
          </cell>
        </row>
        <row r="92">
          <cell r="B92" t="str">
            <v>Edisto</v>
          </cell>
        </row>
        <row r="93">
          <cell r="B93" t="str">
            <v>Salkehatchie</v>
          </cell>
        </row>
        <row r="94">
          <cell r="B94" t="str">
            <v>Santee</v>
          </cell>
        </row>
        <row r="95">
          <cell r="B95" t="str">
            <v>Pee Dee</v>
          </cell>
        </row>
        <row r="96">
          <cell r="B96" t="str">
            <v>Savannah</v>
          </cell>
        </row>
        <row r="99">
          <cell r="B99" t="str">
            <v>Coldwater</v>
          </cell>
        </row>
        <row r="100">
          <cell r="B100" t="str">
            <v>Warmwater</v>
          </cell>
        </row>
        <row r="103">
          <cell r="B103" t="str">
            <v>Poor</v>
          </cell>
        </row>
        <row r="104">
          <cell r="B104" t="str">
            <v>Fair</v>
          </cell>
        </row>
        <row r="105">
          <cell r="B105" t="str">
            <v>Good</v>
          </cell>
        </row>
        <row r="108">
          <cell r="B108" t="str">
            <v>Colluvial</v>
          </cell>
        </row>
        <row r="109">
          <cell r="B109" t="str">
            <v>Confined Alluvial</v>
          </cell>
        </row>
        <row r="110">
          <cell r="B110" t="str">
            <v>Unconfined Alluvial</v>
          </cell>
        </row>
        <row r="113">
          <cell r="B113" t="str">
            <v>First</v>
          </cell>
        </row>
        <row r="114">
          <cell r="B114" t="str">
            <v>Second</v>
          </cell>
        </row>
        <row r="115">
          <cell r="B115" t="str">
            <v>Third</v>
          </cell>
        </row>
        <row r="116">
          <cell r="B116" t="str">
            <v>Fourth or greater</v>
          </cell>
        </row>
        <row r="119">
          <cell r="B119" t="str">
            <v>&gt; 20 %</v>
          </cell>
        </row>
        <row r="120">
          <cell r="B120" t="str">
            <v>&lt; 20 %</v>
          </cell>
        </row>
        <row r="123">
          <cell r="B123" t="str">
            <v>&lt; 5 %</v>
          </cell>
        </row>
        <row r="124">
          <cell r="B124" t="str">
            <v>5 - 20 %</v>
          </cell>
        </row>
        <row r="125">
          <cell r="B125" t="str">
            <v>21 - 40 %</v>
          </cell>
        </row>
        <row r="126">
          <cell r="B126" t="str">
            <v>&gt; 40 %</v>
          </cell>
        </row>
        <row r="129">
          <cell r="B129" t="str">
            <v>Single Family Residential</v>
          </cell>
        </row>
        <row r="130">
          <cell r="B130" t="str">
            <v>Multi-Family Residential</v>
          </cell>
        </row>
        <row r="131">
          <cell r="B131" t="str">
            <v>Commercial / Golf Course / Agriculture / Silviculture</v>
          </cell>
        </row>
        <row r="132">
          <cell r="B132" t="str">
            <v>Industrial / Landfill</v>
          </cell>
        </row>
        <row r="135">
          <cell r="B135" t="str">
            <v>Qual 4 or EPT</v>
          </cell>
        </row>
        <row r="136">
          <cell r="B136" t="str">
            <v>Full Scale</v>
          </cell>
        </row>
      </sheetData>
      <sheetData sheetId="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59"/>
  <sheetViews>
    <sheetView tabSelected="1" zoomScale="67" zoomScaleNormal="100" workbookViewId="0">
      <selection activeCell="L9" sqref="L9"/>
    </sheetView>
  </sheetViews>
  <sheetFormatPr defaultRowHeight="14.25" x14ac:dyDescent="0.45"/>
  <cols>
    <col min="1" max="1" width="29.265625" customWidth="1"/>
    <col min="2" max="2" width="15" style="48" customWidth="1"/>
    <col min="3" max="3" width="23.73046875" customWidth="1"/>
    <col min="4" max="4" width="17.59765625" style="48" customWidth="1"/>
    <col min="5" max="6" width="17.59765625" customWidth="1"/>
    <col min="7" max="7" width="17.59765625" style="48" customWidth="1"/>
    <col min="8" max="8" width="17.59765625" customWidth="1"/>
    <col min="9" max="9" width="1.86328125" customWidth="1"/>
    <col min="10" max="10" width="58.73046875" style="48" customWidth="1"/>
    <col min="11" max="11" width="58.73046875" style="2" customWidth="1"/>
    <col min="12" max="14" width="47.73046875" style="48" customWidth="1"/>
    <col min="15" max="15" width="8.86328125" style="2"/>
  </cols>
  <sheetData>
    <row r="1" spans="1:19" ht="21.95" customHeight="1" x14ac:dyDescent="0.45">
      <c r="A1" s="303" t="s">
        <v>378</v>
      </c>
      <c r="B1" s="303"/>
      <c r="C1" s="303"/>
      <c r="D1" s="303"/>
      <c r="E1" s="303"/>
      <c r="F1" s="303"/>
      <c r="G1" s="303"/>
      <c r="H1" s="303"/>
      <c r="I1" s="125"/>
      <c r="J1" s="292" t="s">
        <v>238</v>
      </c>
      <c r="K1" s="293"/>
      <c r="L1" s="129"/>
      <c r="M1" s="129"/>
      <c r="N1" s="129"/>
      <c r="O1" s="48"/>
      <c r="P1" s="48"/>
      <c r="Q1" s="48"/>
    </row>
    <row r="2" spans="1:19" s="48" customFormat="1" ht="21.95" customHeight="1" x14ac:dyDescent="0.45">
      <c r="A2" s="304" t="s">
        <v>99</v>
      </c>
      <c r="B2" s="304"/>
      <c r="C2" s="304"/>
      <c r="D2" s="310"/>
      <c r="E2" s="311"/>
      <c r="F2" s="311"/>
      <c r="G2" s="311"/>
      <c r="H2" s="312"/>
      <c r="I2" s="125"/>
      <c r="J2" s="294" t="s">
        <v>311</v>
      </c>
      <c r="K2" s="295"/>
      <c r="L2" s="129"/>
      <c r="M2" s="129"/>
      <c r="N2" s="129"/>
    </row>
    <row r="3" spans="1:19" s="48" customFormat="1" ht="21.95" customHeight="1" x14ac:dyDescent="0.45">
      <c r="A3" s="304" t="s">
        <v>100</v>
      </c>
      <c r="B3" s="304"/>
      <c r="C3" s="304"/>
      <c r="D3" s="309"/>
      <c r="E3" s="309"/>
      <c r="F3" s="309"/>
      <c r="G3" s="245" t="s">
        <v>101</v>
      </c>
      <c r="H3" s="188"/>
      <c r="I3" s="125"/>
      <c r="J3" s="296" t="s">
        <v>239</v>
      </c>
      <c r="K3" s="297"/>
      <c r="L3" s="129"/>
      <c r="M3" s="129"/>
      <c r="N3" s="129"/>
    </row>
    <row r="4" spans="1:19" s="48" customFormat="1" ht="21.95" customHeight="1" x14ac:dyDescent="0.45">
      <c r="A4" s="305" t="s">
        <v>305</v>
      </c>
      <c r="B4" s="305"/>
      <c r="C4" s="304"/>
      <c r="D4" s="316"/>
      <c r="E4" s="317"/>
      <c r="F4" s="317"/>
      <c r="G4" s="317"/>
      <c r="H4" s="318"/>
      <c r="I4" s="125"/>
      <c r="J4" s="298" t="s">
        <v>312</v>
      </c>
      <c r="K4" s="299"/>
      <c r="L4" s="129"/>
      <c r="M4" s="129"/>
      <c r="N4" s="129"/>
    </row>
    <row r="5" spans="1:19" ht="43.5" customHeight="1" x14ac:dyDescent="0.45">
      <c r="A5" s="304" t="s">
        <v>102</v>
      </c>
      <c r="B5" s="304"/>
      <c r="C5" s="304"/>
      <c r="D5" s="316"/>
      <c r="E5" s="317"/>
      <c r="F5" s="317"/>
      <c r="G5" s="317"/>
      <c r="H5" s="318"/>
      <c r="I5" s="125"/>
      <c r="J5" s="247"/>
      <c r="K5" s="247"/>
      <c r="L5" s="129"/>
      <c r="M5" s="129"/>
      <c r="N5" s="129"/>
      <c r="O5"/>
    </row>
    <row r="6" spans="1:19" s="48" customFormat="1" ht="21.95" customHeight="1" x14ac:dyDescent="0.45">
      <c r="A6" s="306" t="s">
        <v>318</v>
      </c>
      <c r="B6" s="307"/>
      <c r="C6" s="307"/>
      <c r="D6" s="321">
        <f>SUM(H10:H19)</f>
        <v>0</v>
      </c>
      <c r="E6" s="321"/>
      <c r="F6" s="321"/>
      <c r="G6" s="321"/>
      <c r="H6" s="322"/>
      <c r="I6" s="125"/>
      <c r="J6" s="329" t="s">
        <v>142</v>
      </c>
      <c r="K6" s="329"/>
      <c r="L6" s="185"/>
      <c r="M6" s="185"/>
      <c r="N6" s="185"/>
      <c r="O6" s="9"/>
      <c r="P6" s="9"/>
      <c r="R6" s="22"/>
      <c r="S6" s="23"/>
    </row>
    <row r="7" spans="1:19" s="48" customFormat="1" ht="21.95" customHeight="1" x14ac:dyDescent="0.45">
      <c r="A7" s="306" t="s">
        <v>302</v>
      </c>
      <c r="B7" s="307"/>
      <c r="C7" s="307"/>
      <c r="D7" s="319">
        <f>SUM(H22:H31)</f>
        <v>0</v>
      </c>
      <c r="E7" s="319"/>
      <c r="F7" s="319"/>
      <c r="G7" s="319"/>
      <c r="H7" s="320"/>
      <c r="I7" s="125"/>
      <c r="J7" s="323"/>
      <c r="K7" s="324"/>
      <c r="L7" s="185"/>
      <c r="M7" s="185"/>
      <c r="N7" s="185"/>
      <c r="O7" s="9"/>
      <c r="P7" s="9"/>
      <c r="R7" s="22"/>
      <c r="S7" s="23"/>
    </row>
    <row r="8" spans="1:19" ht="21.95" customHeight="1" x14ac:dyDescent="0.45">
      <c r="A8" s="306" t="s">
        <v>176</v>
      </c>
      <c r="B8" s="307"/>
      <c r="C8" s="307"/>
      <c r="D8" s="307"/>
      <c r="E8" s="307"/>
      <c r="F8" s="307"/>
      <c r="G8" s="307"/>
      <c r="H8" s="308"/>
      <c r="I8" s="125"/>
      <c r="J8" s="325"/>
      <c r="K8" s="326"/>
      <c r="L8" s="82"/>
      <c r="M8" s="82"/>
      <c r="N8" s="82"/>
      <c r="O8" s="9"/>
      <c r="P8" s="9"/>
      <c r="Q8" s="2"/>
      <c r="R8" s="22"/>
      <c r="S8" s="23"/>
    </row>
    <row r="9" spans="1:19" ht="54" customHeight="1" x14ac:dyDescent="0.45">
      <c r="A9" s="78" t="s">
        <v>314</v>
      </c>
      <c r="B9" s="70" t="s">
        <v>141</v>
      </c>
      <c r="C9" s="70" t="s">
        <v>391</v>
      </c>
      <c r="D9" s="70" t="s">
        <v>177</v>
      </c>
      <c r="E9" s="313" t="s">
        <v>140</v>
      </c>
      <c r="F9" s="314"/>
      <c r="G9" s="315"/>
      <c r="H9" s="70" t="s">
        <v>352</v>
      </c>
      <c r="I9" s="125"/>
      <c r="J9" s="325"/>
      <c r="K9" s="326"/>
      <c r="L9" s="82"/>
      <c r="M9" s="82"/>
      <c r="N9" s="82"/>
      <c r="O9" s="9"/>
      <c r="P9" s="9"/>
      <c r="Q9" s="2"/>
      <c r="R9" s="22"/>
      <c r="S9" s="23"/>
    </row>
    <row r="10" spans="1:19" ht="33.75" customHeight="1" x14ac:dyDescent="0.45">
      <c r="A10" s="199"/>
      <c r="B10" s="287"/>
      <c r="C10" s="287"/>
      <c r="D10" s="287"/>
      <c r="E10" s="300"/>
      <c r="F10" s="301"/>
      <c r="G10" s="302"/>
      <c r="H10" s="192" t="str">
        <f>'Functional Loss'!J9</f>
        <v/>
      </c>
      <c r="I10" s="125"/>
      <c r="J10" s="325"/>
      <c r="K10" s="326"/>
      <c r="L10" s="82"/>
      <c r="M10" s="82"/>
      <c r="N10" s="82"/>
      <c r="O10" s="9"/>
      <c r="P10" s="9"/>
      <c r="Q10" s="2"/>
      <c r="R10" s="22"/>
      <c r="S10" s="23"/>
    </row>
    <row r="11" spans="1:19" s="48" customFormat="1" ht="33.75" customHeight="1" x14ac:dyDescent="0.45">
      <c r="A11" s="199"/>
      <c r="B11" s="287"/>
      <c r="C11" s="287"/>
      <c r="D11" s="287"/>
      <c r="E11" s="300"/>
      <c r="F11" s="301"/>
      <c r="G11" s="302"/>
      <c r="H11" s="192" t="str">
        <f>'Functional Loss'!J10</f>
        <v/>
      </c>
      <c r="I11" s="125"/>
      <c r="J11" s="325"/>
      <c r="K11" s="326"/>
      <c r="L11" s="82"/>
      <c r="M11" s="82"/>
      <c r="N11" s="82"/>
      <c r="O11" s="9"/>
      <c r="P11" s="9"/>
      <c r="R11" s="22"/>
      <c r="S11" s="23"/>
    </row>
    <row r="12" spans="1:19" ht="33.75" customHeight="1" x14ac:dyDescent="0.45">
      <c r="A12" s="199"/>
      <c r="B12" s="287"/>
      <c r="C12" s="287"/>
      <c r="D12" s="287"/>
      <c r="E12" s="300"/>
      <c r="F12" s="301"/>
      <c r="G12" s="302"/>
      <c r="H12" s="192" t="str">
        <f>'Functional Loss'!J11</f>
        <v/>
      </c>
      <c r="I12" s="125"/>
      <c r="J12" s="325"/>
      <c r="K12" s="326"/>
      <c r="L12" s="82"/>
      <c r="M12" s="82"/>
      <c r="N12" s="82"/>
      <c r="O12" s="9"/>
      <c r="P12" s="9"/>
      <c r="Q12" s="2"/>
      <c r="R12" s="22"/>
      <c r="S12" s="23"/>
    </row>
    <row r="13" spans="1:19" ht="33.75" customHeight="1" x14ac:dyDescent="0.45">
      <c r="A13" s="199"/>
      <c r="B13" s="287"/>
      <c r="C13" s="287"/>
      <c r="D13" s="287"/>
      <c r="E13" s="300"/>
      <c r="F13" s="301"/>
      <c r="G13" s="302"/>
      <c r="H13" s="192" t="str">
        <f>'Functional Loss'!J12</f>
        <v/>
      </c>
      <c r="I13" s="125"/>
      <c r="J13" s="325"/>
      <c r="K13" s="326"/>
      <c r="L13" s="82"/>
      <c r="M13" s="82"/>
      <c r="N13" s="82"/>
      <c r="O13" s="9"/>
      <c r="P13" s="9"/>
      <c r="Q13" s="2"/>
      <c r="R13" s="22"/>
      <c r="S13" s="23"/>
    </row>
    <row r="14" spans="1:19" ht="33.75" customHeight="1" x14ac:dyDescent="0.45">
      <c r="A14" s="199"/>
      <c r="B14" s="287"/>
      <c r="C14" s="287"/>
      <c r="D14" s="287"/>
      <c r="E14" s="300"/>
      <c r="F14" s="301"/>
      <c r="G14" s="302"/>
      <c r="H14" s="192" t="str">
        <f>'Functional Loss'!J13</f>
        <v/>
      </c>
      <c r="I14" s="125"/>
      <c r="J14" s="325"/>
      <c r="K14" s="326"/>
      <c r="L14" s="82"/>
      <c r="M14" s="82"/>
      <c r="N14" s="82"/>
      <c r="O14" s="9"/>
      <c r="P14" s="9"/>
      <c r="Q14" s="2"/>
      <c r="R14" s="22"/>
      <c r="S14" s="23"/>
    </row>
    <row r="15" spans="1:19" ht="33.75" customHeight="1" x14ac:dyDescent="0.45">
      <c r="A15" s="199"/>
      <c r="B15" s="287"/>
      <c r="C15" s="287"/>
      <c r="D15" s="287"/>
      <c r="E15" s="300"/>
      <c r="F15" s="301"/>
      <c r="G15" s="302"/>
      <c r="H15" s="192" t="str">
        <f>'Functional Loss'!J14</f>
        <v/>
      </c>
      <c r="I15" s="125"/>
      <c r="J15" s="325"/>
      <c r="K15" s="326"/>
      <c r="L15" s="82"/>
      <c r="M15" s="82"/>
      <c r="N15" s="82"/>
      <c r="O15" s="9"/>
      <c r="P15" s="9"/>
      <c r="Q15" s="2"/>
      <c r="R15" s="22"/>
      <c r="S15" s="23"/>
    </row>
    <row r="16" spans="1:19" ht="33.75" customHeight="1" x14ac:dyDescent="0.45">
      <c r="A16" s="199"/>
      <c r="B16" s="287"/>
      <c r="C16" s="287"/>
      <c r="D16" s="287"/>
      <c r="E16" s="300"/>
      <c r="F16" s="301"/>
      <c r="G16" s="302"/>
      <c r="H16" s="192" t="str">
        <f>'Functional Loss'!J15</f>
        <v/>
      </c>
      <c r="I16" s="125"/>
      <c r="J16" s="325"/>
      <c r="K16" s="326"/>
      <c r="L16" s="82"/>
      <c r="M16" s="82"/>
      <c r="N16" s="82"/>
      <c r="O16" s="9"/>
      <c r="P16" s="9"/>
      <c r="Q16" s="2"/>
      <c r="R16" s="22"/>
      <c r="S16" s="23"/>
    </row>
    <row r="17" spans="1:31" ht="33.75" customHeight="1" x14ac:dyDescent="0.45">
      <c r="A17" s="199"/>
      <c r="B17" s="287"/>
      <c r="C17" s="287"/>
      <c r="D17" s="287"/>
      <c r="E17" s="300"/>
      <c r="F17" s="301"/>
      <c r="G17" s="302"/>
      <c r="H17" s="192" t="str">
        <f>'Functional Loss'!J16</f>
        <v/>
      </c>
      <c r="I17" s="125"/>
      <c r="J17" s="325"/>
      <c r="K17" s="326"/>
      <c r="L17" s="82"/>
      <c r="M17" s="82"/>
      <c r="N17" s="82"/>
      <c r="O17" s="9"/>
      <c r="P17" s="9"/>
      <c r="Q17" s="2"/>
      <c r="R17" s="22"/>
      <c r="S17" s="23"/>
    </row>
    <row r="18" spans="1:31" ht="33.75" customHeight="1" x14ac:dyDescent="0.45">
      <c r="A18" s="199"/>
      <c r="B18" s="287"/>
      <c r="C18" s="287"/>
      <c r="D18" s="287"/>
      <c r="E18" s="300"/>
      <c r="F18" s="301"/>
      <c r="G18" s="302"/>
      <c r="H18" s="192" t="str">
        <f>'Functional Loss'!J17</f>
        <v/>
      </c>
      <c r="I18" s="125"/>
      <c r="J18" s="325"/>
      <c r="K18" s="326"/>
      <c r="L18" s="82"/>
      <c r="M18" s="82"/>
      <c r="N18" s="82"/>
      <c r="O18" s="9"/>
      <c r="P18" s="9"/>
      <c r="Q18" s="2"/>
      <c r="R18" s="22"/>
      <c r="S18" s="23"/>
    </row>
    <row r="19" spans="1:31" ht="33.75" customHeight="1" x14ac:dyDescent="0.45">
      <c r="A19" s="199"/>
      <c r="B19" s="287"/>
      <c r="C19" s="287"/>
      <c r="D19" s="287"/>
      <c r="E19" s="300"/>
      <c r="F19" s="301"/>
      <c r="G19" s="302"/>
      <c r="H19" s="192" t="str">
        <f>'Functional Loss'!J18</f>
        <v/>
      </c>
      <c r="I19" s="125"/>
      <c r="J19" s="325"/>
      <c r="K19" s="326"/>
      <c r="L19" s="82"/>
      <c r="M19" s="82"/>
      <c r="N19" s="82"/>
      <c r="O19" s="9"/>
      <c r="P19" s="9"/>
      <c r="Q19" s="2"/>
      <c r="R19" s="22"/>
      <c r="S19" s="23"/>
    </row>
    <row r="20" spans="1:31" s="1" customFormat="1" ht="21.95" customHeight="1" x14ac:dyDescent="0.45">
      <c r="A20" s="289" t="s">
        <v>293</v>
      </c>
      <c r="B20" s="290"/>
      <c r="C20" s="290"/>
      <c r="D20" s="290"/>
      <c r="E20" s="290"/>
      <c r="F20" s="290"/>
      <c r="G20" s="290"/>
      <c r="H20" s="291"/>
      <c r="I20" s="64"/>
      <c r="J20" s="325"/>
      <c r="K20" s="326"/>
      <c r="L20" s="21"/>
      <c r="M20" s="21"/>
      <c r="N20" s="21"/>
      <c r="O20" s="184"/>
      <c r="P20" s="184"/>
      <c r="R20" s="22"/>
      <c r="S20" s="23"/>
    </row>
    <row r="21" spans="1:31" ht="55.5" customHeight="1" x14ac:dyDescent="0.45">
      <c r="A21" s="78" t="s">
        <v>314</v>
      </c>
      <c r="B21" s="189" t="s">
        <v>298</v>
      </c>
      <c r="C21" s="189" t="s">
        <v>292</v>
      </c>
      <c r="D21" s="70" t="s">
        <v>353</v>
      </c>
      <c r="E21" s="70" t="s">
        <v>300</v>
      </c>
      <c r="F21" s="70" t="s">
        <v>307</v>
      </c>
      <c r="G21" s="70" t="s">
        <v>299</v>
      </c>
      <c r="H21" s="70" t="s">
        <v>329</v>
      </c>
      <c r="I21" s="125"/>
      <c r="J21" s="325"/>
      <c r="K21" s="326"/>
      <c r="L21" s="82"/>
      <c r="M21" s="82"/>
      <c r="N21" s="82"/>
      <c r="O21" s="9"/>
      <c r="P21" s="9"/>
      <c r="Q21" s="2"/>
      <c r="R21" s="22"/>
      <c r="S21" s="23"/>
    </row>
    <row r="22" spans="1:31" ht="21.95" customHeight="1" x14ac:dyDescent="0.45">
      <c r="A22" s="244" t="str">
        <f>IF(A10="","",A10)</f>
        <v/>
      </c>
      <c r="B22" s="79" t="str">
        <f>IF('Functional Loss'!E9="","",'Functional Loss'!E9)</f>
        <v/>
      </c>
      <c r="C22" s="190" t="str">
        <f>IF(OR(B10="",C10=""),"",IF(OR(B10="Ephemeral", B10="Intermittent"), "Non-RPW",IF(AND(C10&lt;3,OR(B10="Perennial",B10="Seasonal Intermittent")),"1st and 2nd Order RPWs","All Other Streams")))</f>
        <v/>
      </c>
      <c r="D22" s="244" t="str">
        <f>IF(C22="","",IF(C22="Non-RPW", 0.1, IF(C22="All Other Streams",0.4,0.8)))</f>
        <v/>
      </c>
      <c r="E22" s="130"/>
      <c r="F22" s="186" t="str" cm="1">
        <f t="array" ref="F22">_xlfn.IFS(E22="","",E22="Temporary",0.05, E22="Recurrent", 0.1,E22= "Permanent",0.3)</f>
        <v/>
      </c>
      <c r="G22" s="198">
        <f t="shared" ref="G22:G31" si="0">SUM($D22,$F22,$D$33)</f>
        <v>0</v>
      </c>
      <c r="H22" s="192" t="str">
        <f>IF(OR(H10="",G22="", E22="",F22=""),"",H10*G22)</f>
        <v/>
      </c>
      <c r="I22" s="125"/>
      <c r="J22" s="327"/>
      <c r="K22" s="328"/>
      <c r="L22" s="82"/>
      <c r="M22" s="82"/>
      <c r="N22" s="82"/>
      <c r="O22" s="9"/>
      <c r="P22" s="9"/>
      <c r="Q22" s="2"/>
      <c r="R22" s="2"/>
      <c r="S22" s="2"/>
    </row>
    <row r="23" spans="1:31" ht="21.95" customHeight="1" x14ac:dyDescent="0.45">
      <c r="A23" s="244" t="str">
        <f t="shared" ref="A23:A31" si="1">IF(A11="","",A11)</f>
        <v/>
      </c>
      <c r="B23" s="79" t="str">
        <f>IF('Functional Loss'!E10="","",'Functional Loss'!E10)</f>
        <v/>
      </c>
      <c r="C23" s="190" t="str">
        <f t="shared" ref="C23:C31" si="2">IF(OR(B11="",C11=""),"",IF(OR(B11="Ephemeral", B11="Intermittent"), "Non-RPW",IF(AND(C11&lt;3,OR(B11="Perennial",B11="Seasonal Intermittent")),"1st and 2nd Order RPWs","All Other Streams")))</f>
        <v/>
      </c>
      <c r="D23" s="246" t="str">
        <f t="shared" ref="D23:D31" si="3">IF(C23="","",IF(C23="Non-RPW", 0.1, IF(C23="All Other Streams",0.4,0.8)))</f>
        <v/>
      </c>
      <c r="E23" s="130"/>
      <c r="F23" s="186" t="str" cm="1">
        <f t="array" ref="F23">_xlfn.IFS(E23="","",E23="Temporary",0.05, E23="Recurrent", 0.1,E23= "Permanent",0.3)</f>
        <v/>
      </c>
      <c r="G23" s="198">
        <f t="shared" si="0"/>
        <v>0</v>
      </c>
      <c r="H23" s="192" t="str">
        <f t="shared" ref="H23:H31" si="4">IF(OR(H11="",G23="", E23="",F23=""),"",H11*G23)</f>
        <v/>
      </c>
      <c r="I23" s="125"/>
      <c r="J23" s="128"/>
      <c r="K23" s="125"/>
      <c r="L23" s="82"/>
      <c r="M23" s="82"/>
      <c r="N23" s="82"/>
      <c r="P23" s="2"/>
      <c r="Q23" s="2"/>
      <c r="R23" s="2"/>
      <c r="S23" s="2"/>
      <c r="T23" s="2"/>
      <c r="U23" s="2"/>
      <c r="V23" s="2"/>
      <c r="W23" s="2"/>
      <c r="X23" s="2"/>
      <c r="Y23" s="2"/>
      <c r="Z23" s="2"/>
      <c r="AA23" s="2"/>
      <c r="AB23" s="2"/>
      <c r="AC23" s="2"/>
      <c r="AD23" s="2"/>
      <c r="AE23" s="2"/>
    </row>
    <row r="24" spans="1:31" s="2" customFormat="1" ht="21.95" customHeight="1" x14ac:dyDescent="0.45">
      <c r="A24" s="244" t="str">
        <f t="shared" si="1"/>
        <v/>
      </c>
      <c r="B24" s="79" t="str">
        <f>IF('Functional Loss'!E11="","",'Functional Loss'!E11)</f>
        <v/>
      </c>
      <c r="C24" s="190" t="str">
        <f t="shared" si="2"/>
        <v/>
      </c>
      <c r="D24" s="246" t="str">
        <f t="shared" si="3"/>
        <v/>
      </c>
      <c r="E24" s="130"/>
      <c r="F24" s="186" t="str" cm="1">
        <f t="array" ref="F24">_xlfn.IFS(E24="","",E24="Temporary",0.05, E24="Recurrent", 0.1,E24= "Permanent",0.3)</f>
        <v/>
      </c>
      <c r="G24" s="198">
        <f t="shared" si="0"/>
        <v>0</v>
      </c>
      <c r="H24" s="192" t="str">
        <f t="shared" si="4"/>
        <v/>
      </c>
      <c r="I24" s="125"/>
      <c r="J24" s="125"/>
      <c r="K24" s="125"/>
      <c r="L24" s="48"/>
      <c r="M24" s="48"/>
      <c r="N24" s="48"/>
    </row>
    <row r="25" spans="1:31" s="2" customFormat="1" ht="21.95" customHeight="1" x14ac:dyDescent="0.45">
      <c r="A25" s="244" t="str">
        <f t="shared" si="1"/>
        <v/>
      </c>
      <c r="B25" s="79" t="str">
        <f>IF('Functional Loss'!E12="","",'Functional Loss'!E12)</f>
        <v/>
      </c>
      <c r="C25" s="190" t="str">
        <f t="shared" si="2"/>
        <v/>
      </c>
      <c r="D25" s="246" t="str">
        <f t="shared" si="3"/>
        <v/>
      </c>
      <c r="E25" s="130"/>
      <c r="F25" s="186" t="str" cm="1">
        <f t="array" ref="F25">_xlfn.IFS(E25="","",E25="Temporary",0.05, E25="Recurrent", 0.1,E25= "Permanent",0.3)</f>
        <v/>
      </c>
      <c r="G25" s="198">
        <f t="shared" si="0"/>
        <v>0</v>
      </c>
      <c r="H25" s="192" t="str">
        <f t="shared" si="4"/>
        <v/>
      </c>
      <c r="I25" s="125"/>
      <c r="J25" s="125"/>
      <c r="K25" s="125"/>
      <c r="L25" s="48"/>
      <c r="M25" s="48"/>
      <c r="N25" s="48"/>
    </row>
    <row r="26" spans="1:31" s="2" customFormat="1" ht="21.95" customHeight="1" x14ac:dyDescent="0.45">
      <c r="A26" s="244" t="str">
        <f t="shared" si="1"/>
        <v/>
      </c>
      <c r="B26" s="79" t="str">
        <f>IF('Functional Loss'!E13="","",'Functional Loss'!E13)</f>
        <v/>
      </c>
      <c r="C26" s="190" t="str">
        <f>IF(OR(B14="",C14=""),"",IF(OR(B14="Ephemeral", B14="Intermittent"), "Non-RPW",IF(AND(C14&lt;3,OR(B14="Perennial",B14="Seasonal Intermittent")),"1st and 2nd Order RPWs","All Other Streams")))</f>
        <v/>
      </c>
      <c r="D26" s="246" t="str">
        <f t="shared" si="3"/>
        <v/>
      </c>
      <c r="E26" s="130"/>
      <c r="F26" s="186" t="str" cm="1">
        <f t="array" ref="F26">_xlfn.IFS(E26="","",E26="Temporary",0.05, E26="Recurrent", 0.1,E26= "Permanent",0.3)</f>
        <v/>
      </c>
      <c r="G26" s="198">
        <f t="shared" si="0"/>
        <v>0</v>
      </c>
      <c r="H26" s="192" t="str">
        <f t="shared" si="4"/>
        <v/>
      </c>
      <c r="I26" s="125"/>
      <c r="J26" s="125"/>
      <c r="K26" s="125"/>
      <c r="L26" s="48"/>
      <c r="M26" s="48"/>
      <c r="N26" s="48"/>
    </row>
    <row r="27" spans="1:31" ht="21.95" customHeight="1" x14ac:dyDescent="0.45">
      <c r="A27" s="244" t="str">
        <f t="shared" si="1"/>
        <v/>
      </c>
      <c r="B27" s="79" t="str">
        <f>IF('Functional Loss'!E14="","",'Functional Loss'!E14)</f>
        <v/>
      </c>
      <c r="C27" s="190" t="str">
        <f t="shared" si="2"/>
        <v/>
      </c>
      <c r="D27" s="246" t="str">
        <f t="shared" si="3"/>
        <v/>
      </c>
      <c r="E27" s="130"/>
      <c r="F27" s="186" t="str" cm="1">
        <f t="array" ref="F27">_xlfn.IFS(E27="","",E27="Temporary",0.05, E27="Recurrent", 0.1,E27= "Permanent",0.3)</f>
        <v/>
      </c>
      <c r="G27" s="198">
        <f t="shared" si="0"/>
        <v>0</v>
      </c>
      <c r="H27" s="192" t="str">
        <f t="shared" si="4"/>
        <v/>
      </c>
      <c r="I27" s="125"/>
      <c r="J27" s="125"/>
      <c r="K27" s="125"/>
      <c r="P27" s="2"/>
      <c r="Q27" s="2"/>
      <c r="R27" s="2"/>
      <c r="S27" s="2"/>
      <c r="T27" s="2"/>
      <c r="U27" s="2"/>
      <c r="V27" s="2"/>
      <c r="W27" s="2"/>
      <c r="X27" s="2"/>
      <c r="Y27" s="2"/>
      <c r="Z27" s="2"/>
      <c r="AA27" s="2"/>
      <c r="AB27" s="2"/>
      <c r="AC27" s="2"/>
      <c r="AD27" s="2"/>
      <c r="AE27" s="2"/>
    </row>
    <row r="28" spans="1:31" s="2" customFormat="1" ht="21.95" customHeight="1" x14ac:dyDescent="0.45">
      <c r="A28" s="244" t="str">
        <f t="shared" si="1"/>
        <v/>
      </c>
      <c r="B28" s="79" t="str">
        <f>IF('Functional Loss'!E15="","",'Functional Loss'!E15)</f>
        <v/>
      </c>
      <c r="C28" s="190" t="str">
        <f t="shared" si="2"/>
        <v/>
      </c>
      <c r="D28" s="246" t="str">
        <f t="shared" si="3"/>
        <v/>
      </c>
      <c r="E28" s="130"/>
      <c r="F28" s="186" t="str" cm="1">
        <f t="array" ref="F28">_xlfn.IFS(E28="","",E28="Temporary",0.05, E28="Recurrent", 0.1,E28= "Permanent",0.3)</f>
        <v/>
      </c>
      <c r="G28" s="198">
        <f t="shared" si="0"/>
        <v>0</v>
      </c>
      <c r="H28" s="192" t="str">
        <f t="shared" si="4"/>
        <v/>
      </c>
      <c r="I28" s="125"/>
      <c r="J28" s="125"/>
      <c r="K28" s="125"/>
      <c r="L28" s="48"/>
      <c r="M28" s="48"/>
      <c r="N28" s="48"/>
    </row>
    <row r="29" spans="1:31" s="1" customFormat="1" ht="21.95" customHeight="1" x14ac:dyDescent="0.45">
      <c r="A29" s="244" t="str">
        <f t="shared" si="1"/>
        <v/>
      </c>
      <c r="B29" s="79" t="str">
        <f>IF('Functional Loss'!E16="","",'Functional Loss'!E16)</f>
        <v/>
      </c>
      <c r="C29" s="190" t="str">
        <f t="shared" si="2"/>
        <v/>
      </c>
      <c r="D29" s="246" t="str">
        <f t="shared" si="3"/>
        <v/>
      </c>
      <c r="E29" s="130"/>
      <c r="F29" s="186" t="str" cm="1">
        <f t="array" ref="F29">_xlfn.IFS(E29="","",E29="Temporary",0.05, E29="Recurrent", 0.1,E29= "Permanent",0.3)</f>
        <v/>
      </c>
      <c r="G29" s="198">
        <f t="shared" si="0"/>
        <v>0</v>
      </c>
      <c r="H29" s="192" t="str">
        <f t="shared" si="4"/>
        <v/>
      </c>
      <c r="I29" s="64"/>
      <c r="J29" s="64"/>
      <c r="K29" s="64"/>
    </row>
    <row r="30" spans="1:31" s="1" customFormat="1" ht="21.95" customHeight="1" x14ac:dyDescent="0.45">
      <c r="A30" s="244" t="str">
        <f t="shared" si="1"/>
        <v/>
      </c>
      <c r="B30" s="79" t="str">
        <f>IF('Functional Loss'!E17="","",'Functional Loss'!E17)</f>
        <v/>
      </c>
      <c r="C30" s="190" t="str">
        <f t="shared" si="2"/>
        <v/>
      </c>
      <c r="D30" s="246" t="str">
        <f t="shared" si="3"/>
        <v/>
      </c>
      <c r="E30" s="130"/>
      <c r="F30" s="186" t="str" cm="1">
        <f t="array" ref="F30">_xlfn.IFS(E30="","",E30="Temporary",0.05, E30="Recurrent", 0.1,E30= "Permanent",0.3)</f>
        <v/>
      </c>
      <c r="G30" s="198">
        <f t="shared" si="0"/>
        <v>0</v>
      </c>
      <c r="H30" s="192" t="str">
        <f t="shared" si="4"/>
        <v/>
      </c>
      <c r="I30" s="64"/>
      <c r="J30" s="64"/>
      <c r="K30" s="64"/>
    </row>
    <row r="31" spans="1:31" s="1" customFormat="1" ht="21.95" customHeight="1" x14ac:dyDescent="0.45">
      <c r="A31" s="244" t="str">
        <f t="shared" si="1"/>
        <v/>
      </c>
      <c r="B31" s="79" t="str">
        <f>IF('Functional Loss'!E18="","",'Functional Loss'!E18)</f>
        <v/>
      </c>
      <c r="C31" s="190" t="str">
        <f t="shared" si="2"/>
        <v/>
      </c>
      <c r="D31" s="246" t="str">
        <f t="shared" si="3"/>
        <v/>
      </c>
      <c r="E31" s="130"/>
      <c r="F31" s="186" t="str" cm="1">
        <f t="array" ref="F31">_xlfn.IFS(E31="","",E31="Temporary",0.05, E31="Recurrent", 0.1,E31= "Permanent",0.3)</f>
        <v/>
      </c>
      <c r="G31" s="198">
        <f t="shared" si="0"/>
        <v>0</v>
      </c>
      <c r="H31" s="192" t="str">
        <f t="shared" si="4"/>
        <v/>
      </c>
      <c r="I31" s="64"/>
      <c r="J31" s="64"/>
      <c r="K31" s="64"/>
    </row>
    <row r="32" spans="1:31" s="1" customFormat="1" ht="43.5" customHeight="1" x14ac:dyDescent="0.45">
      <c r="A32" s="191" t="s">
        <v>309</v>
      </c>
      <c r="B32" s="183"/>
      <c r="C32" s="288"/>
      <c r="D32" s="207" t="s">
        <v>308</v>
      </c>
      <c r="E32" s="288"/>
      <c r="F32" s="288"/>
      <c r="G32" s="288"/>
      <c r="H32" s="288"/>
      <c r="I32" s="64"/>
      <c r="J32" s="64"/>
      <c r="K32" s="64"/>
    </row>
    <row r="33" spans="1:31" s="1" customFormat="1" ht="21.95" customHeight="1" x14ac:dyDescent="0.45">
      <c r="A33" s="244" t="s">
        <v>310</v>
      </c>
      <c r="B33" s="79">
        <f>SUM(B22:B32)</f>
        <v>0</v>
      </c>
      <c r="C33" s="288"/>
      <c r="D33" s="244" cm="1">
        <f t="array" ref="D33">_xlfn.IFS(B33=0,0,B33&lt;50, 0.01, B33&lt;=300, 0.1, B33&lt;=500,0.2, B33&lt;1000, 0.4, B33&lt;=6000, 1.5, TRUE, 3)</f>
        <v>0</v>
      </c>
      <c r="E33" s="288"/>
      <c r="F33" s="288"/>
      <c r="G33" s="288"/>
      <c r="H33" s="288"/>
      <c r="I33" s="64"/>
      <c r="J33" s="64"/>
      <c r="K33" s="64"/>
    </row>
    <row r="34" spans="1:31" s="1" customFormat="1" x14ac:dyDescent="0.45">
      <c r="I34" s="64"/>
      <c r="J34" s="64"/>
      <c r="K34" s="64"/>
    </row>
    <row r="35" spans="1:31" s="1" customFormat="1" x14ac:dyDescent="0.45">
      <c r="A35" s="194" t="s">
        <v>330</v>
      </c>
      <c r="B35" s="64"/>
      <c r="C35" s="64"/>
      <c r="D35" s="64"/>
      <c r="E35" s="125"/>
      <c r="F35" s="125"/>
      <c r="G35" s="125"/>
      <c r="H35" s="125"/>
      <c r="I35" s="64"/>
      <c r="J35" s="64"/>
      <c r="K35" s="64"/>
    </row>
    <row r="36" spans="1:31" s="1" customFormat="1" x14ac:dyDescent="0.45">
      <c r="A36" s="195"/>
      <c r="B36" s="64"/>
      <c r="C36" s="64"/>
      <c r="D36" s="64"/>
      <c r="E36" s="125"/>
      <c r="F36" s="125"/>
      <c r="G36" s="125"/>
      <c r="H36" s="125"/>
      <c r="I36" s="64"/>
      <c r="J36" s="64"/>
      <c r="K36" s="64"/>
    </row>
    <row r="37" spans="1:31" s="2" customFormat="1" x14ac:dyDescent="0.45">
      <c r="A37" s="131" t="s">
        <v>303</v>
      </c>
      <c r="B37" s="131"/>
      <c r="C37" s="131"/>
      <c r="D37" s="125"/>
      <c r="E37" s="125"/>
      <c r="F37" s="125"/>
      <c r="G37" s="125"/>
      <c r="H37" s="125"/>
      <c r="I37" s="125"/>
      <c r="J37" s="125"/>
      <c r="K37" s="125"/>
      <c r="L37" s="48"/>
      <c r="M37" s="48"/>
      <c r="N37" s="48"/>
    </row>
    <row r="38" spans="1:31" s="1" customFormat="1" x14ac:dyDescent="0.45">
      <c r="A38" s="131" t="s">
        <v>116</v>
      </c>
      <c r="B38" s="125" t="s">
        <v>167</v>
      </c>
      <c r="C38" s="125"/>
      <c r="D38" s="125"/>
      <c r="E38" s="125"/>
      <c r="F38" s="125"/>
      <c r="G38" s="125"/>
      <c r="H38" s="125"/>
      <c r="I38" s="64"/>
      <c r="J38" s="64"/>
      <c r="K38" s="64"/>
    </row>
    <row r="39" spans="1:31" x14ac:dyDescent="0.45">
      <c r="A39" s="131" t="s">
        <v>78</v>
      </c>
      <c r="B39" s="125" t="s">
        <v>168</v>
      </c>
      <c r="C39" s="125"/>
      <c r="D39" s="125"/>
      <c r="E39" s="125"/>
      <c r="F39" s="125"/>
      <c r="G39" s="125"/>
      <c r="H39" s="125"/>
      <c r="I39" s="125"/>
      <c r="J39" s="125"/>
      <c r="K39" s="125"/>
      <c r="P39" s="2"/>
      <c r="Q39" s="2"/>
      <c r="R39" s="2"/>
      <c r="S39" s="2"/>
      <c r="T39" s="2"/>
      <c r="U39" s="2"/>
      <c r="V39" s="2"/>
      <c r="W39" s="2"/>
      <c r="X39" s="2"/>
      <c r="Y39" s="2"/>
      <c r="Z39" s="2"/>
      <c r="AA39" s="2"/>
      <c r="AB39" s="2"/>
      <c r="AC39" s="2"/>
      <c r="AD39" s="2"/>
      <c r="AE39" s="2"/>
    </row>
    <row r="40" spans="1:31" x14ac:dyDescent="0.45">
      <c r="A40" s="125"/>
      <c r="B40" s="125" t="s">
        <v>169</v>
      </c>
      <c r="C40" s="125"/>
      <c r="D40" s="125"/>
      <c r="E40" s="125"/>
      <c r="F40" s="125"/>
      <c r="G40" s="125"/>
      <c r="H40" s="125"/>
      <c r="I40" s="125"/>
      <c r="J40" s="125"/>
      <c r="K40" s="125"/>
      <c r="P40" s="2"/>
      <c r="Q40" s="2"/>
      <c r="R40" s="2"/>
      <c r="S40" s="2"/>
      <c r="T40" s="2"/>
      <c r="U40" s="2"/>
      <c r="V40" s="2"/>
      <c r="W40" s="2"/>
      <c r="X40" s="2"/>
      <c r="Y40" s="2"/>
      <c r="Z40" s="2"/>
      <c r="AA40" s="2"/>
      <c r="AB40" s="2"/>
      <c r="AC40" s="2"/>
      <c r="AD40" s="2"/>
      <c r="AE40" s="2"/>
    </row>
    <row r="41" spans="1:31" x14ac:dyDescent="0.45">
      <c r="A41" s="125"/>
      <c r="B41" s="125" t="s">
        <v>170</v>
      </c>
      <c r="C41" s="125"/>
      <c r="D41" s="125"/>
      <c r="E41" s="125"/>
      <c r="F41" s="125"/>
      <c r="G41" s="125"/>
      <c r="H41" s="64"/>
      <c r="I41" s="125"/>
      <c r="J41" s="125"/>
      <c r="K41" s="125"/>
      <c r="P41" s="2"/>
      <c r="Q41" s="2"/>
      <c r="R41" s="2"/>
      <c r="S41" s="2"/>
      <c r="T41" s="2"/>
      <c r="U41" s="2"/>
      <c r="V41" s="2"/>
      <c r="W41" s="2"/>
      <c r="X41" s="2"/>
      <c r="Y41" s="2"/>
      <c r="Z41" s="2"/>
      <c r="AA41" s="2"/>
      <c r="AB41" s="2"/>
      <c r="AC41" s="2"/>
      <c r="AD41" s="2"/>
      <c r="AE41" s="2"/>
    </row>
    <row r="42" spans="1:31" x14ac:dyDescent="0.45">
      <c r="A42" s="125"/>
      <c r="B42" s="125" t="s">
        <v>117</v>
      </c>
      <c r="C42" s="125"/>
      <c r="D42" s="125"/>
      <c r="E42" s="125"/>
      <c r="F42" s="125"/>
      <c r="G42" s="125"/>
      <c r="H42" s="64"/>
      <c r="I42" s="125"/>
      <c r="J42" s="125"/>
      <c r="K42" s="125"/>
      <c r="P42" s="2"/>
      <c r="Q42" s="2"/>
      <c r="R42" s="2"/>
      <c r="S42" s="2"/>
      <c r="T42" s="2"/>
      <c r="U42" s="2"/>
      <c r="V42" s="2"/>
      <c r="W42" s="2"/>
      <c r="X42" s="2"/>
      <c r="Y42" s="2"/>
      <c r="Z42" s="2"/>
      <c r="AA42" s="2"/>
      <c r="AB42" s="2"/>
      <c r="AC42" s="2"/>
      <c r="AD42" s="2"/>
      <c r="AE42" s="2"/>
    </row>
    <row r="43" spans="1:31" s="2" customFormat="1" x14ac:dyDescent="0.45">
      <c r="A43" s="125"/>
      <c r="B43" s="125" t="s">
        <v>118</v>
      </c>
      <c r="C43" s="125"/>
      <c r="D43" s="125"/>
      <c r="E43" s="125"/>
      <c r="F43" s="125"/>
      <c r="G43" s="125"/>
      <c r="H43" s="64"/>
      <c r="I43" s="125"/>
      <c r="J43" s="125"/>
      <c r="K43" s="125"/>
      <c r="L43" s="48"/>
      <c r="M43" s="48"/>
      <c r="N43" s="48"/>
    </row>
    <row r="44" spans="1:31" x14ac:dyDescent="0.45">
      <c r="A44" s="125"/>
      <c r="B44" s="125" t="s">
        <v>119</v>
      </c>
      <c r="C44" s="125"/>
      <c r="D44" s="125"/>
      <c r="E44" s="125"/>
      <c r="F44" s="125"/>
      <c r="G44" s="125"/>
      <c r="H44" s="64"/>
      <c r="I44" s="125"/>
      <c r="J44" s="125"/>
      <c r="K44" s="125"/>
      <c r="P44" s="2"/>
      <c r="Q44" s="2"/>
      <c r="R44" s="2"/>
      <c r="S44" s="2"/>
      <c r="T44" s="2"/>
      <c r="U44" s="2"/>
      <c r="V44" s="2"/>
      <c r="W44" s="2"/>
      <c r="X44" s="2"/>
      <c r="Y44" s="2"/>
      <c r="Z44" s="2"/>
      <c r="AA44" s="2"/>
      <c r="AB44" s="2"/>
      <c r="AC44" s="2"/>
      <c r="AD44" s="2"/>
      <c r="AE44" s="2"/>
    </row>
    <row r="45" spans="1:31" x14ac:dyDescent="0.45">
      <c r="A45" s="125"/>
      <c r="B45" s="125" t="s">
        <v>120</v>
      </c>
      <c r="C45" s="125"/>
      <c r="D45" s="125"/>
      <c r="E45" s="125"/>
      <c r="F45" s="125"/>
      <c r="G45" s="125"/>
      <c r="H45" s="64"/>
      <c r="I45" s="2"/>
      <c r="P45" s="2"/>
      <c r="Q45" s="2"/>
      <c r="R45" s="2"/>
      <c r="S45" s="2"/>
      <c r="T45" s="2"/>
      <c r="U45" s="2"/>
      <c r="V45" s="2"/>
      <c r="W45" s="2"/>
      <c r="X45" s="2"/>
      <c r="Y45" s="2"/>
      <c r="Z45" s="2"/>
      <c r="AA45" s="2"/>
      <c r="AB45" s="2"/>
      <c r="AC45" s="2"/>
      <c r="AD45" s="2"/>
      <c r="AE45" s="2"/>
    </row>
    <row r="46" spans="1:31" x14ac:dyDescent="0.45">
      <c r="A46" s="125"/>
      <c r="B46" s="125" t="s">
        <v>171</v>
      </c>
      <c r="C46" s="125"/>
      <c r="D46" s="125"/>
      <c r="E46" s="125"/>
      <c r="F46" s="125"/>
      <c r="G46" s="125"/>
      <c r="H46" s="125"/>
      <c r="I46" s="2"/>
      <c r="P46" s="2"/>
      <c r="Q46" s="2"/>
      <c r="R46" s="2"/>
      <c r="S46" s="2"/>
      <c r="T46" s="2"/>
      <c r="U46" s="2"/>
      <c r="V46" s="2"/>
      <c r="W46" s="2"/>
      <c r="X46" s="2"/>
      <c r="Y46" s="2"/>
      <c r="Z46" s="2"/>
      <c r="AA46" s="2"/>
      <c r="AB46" s="2"/>
      <c r="AC46" s="2"/>
      <c r="AD46" s="2"/>
      <c r="AE46" s="2"/>
    </row>
    <row r="47" spans="1:31" x14ac:dyDescent="0.45">
      <c r="A47" s="131" t="s">
        <v>79</v>
      </c>
      <c r="B47" s="125" t="s">
        <v>121</v>
      </c>
      <c r="C47" s="125"/>
      <c r="D47" s="125"/>
      <c r="E47" s="125"/>
      <c r="F47" s="125"/>
      <c r="G47" s="125"/>
      <c r="H47" s="64"/>
      <c r="I47" s="2"/>
      <c r="P47" s="2"/>
      <c r="Q47" s="2"/>
      <c r="R47" s="2"/>
      <c r="S47" s="2"/>
      <c r="T47" s="2"/>
      <c r="U47" s="2"/>
      <c r="V47" s="2"/>
      <c r="W47" s="2"/>
      <c r="X47" s="2"/>
      <c r="Y47" s="2"/>
      <c r="Z47" s="2"/>
      <c r="AA47" s="2"/>
      <c r="AB47" s="2"/>
      <c r="AC47" s="2"/>
      <c r="AD47" s="2"/>
      <c r="AE47" s="2"/>
    </row>
    <row r="48" spans="1:31" x14ac:dyDescent="0.45">
      <c r="A48" s="125"/>
      <c r="B48" s="125" t="s">
        <v>122</v>
      </c>
      <c r="C48" s="125"/>
      <c r="D48" s="125"/>
      <c r="E48" s="125"/>
      <c r="F48" s="125"/>
      <c r="G48" s="125"/>
      <c r="H48" s="125"/>
      <c r="I48" s="2"/>
      <c r="P48" s="2"/>
      <c r="Q48" s="2"/>
      <c r="R48" s="2"/>
      <c r="S48" s="2"/>
      <c r="T48" s="2"/>
      <c r="U48" s="2"/>
      <c r="V48" s="2"/>
      <c r="W48" s="2"/>
      <c r="X48" s="2"/>
      <c r="Y48" s="2"/>
      <c r="Z48" s="2"/>
      <c r="AA48" s="2"/>
      <c r="AB48" s="2"/>
      <c r="AC48" s="2"/>
      <c r="AD48" s="2"/>
      <c r="AE48" s="2"/>
    </row>
    <row r="49" spans="1:31" s="48" customFormat="1" x14ac:dyDescent="0.45">
      <c r="A49" s="125"/>
      <c r="B49" s="125"/>
      <c r="C49" s="125"/>
      <c r="D49" s="125"/>
      <c r="E49" s="125"/>
      <c r="F49" s="125"/>
      <c r="G49" s="125"/>
      <c r="H49" s="125"/>
    </row>
    <row r="50" spans="1:31" x14ac:dyDescent="0.45">
      <c r="A50" s="131" t="s">
        <v>390</v>
      </c>
      <c r="B50" s="125"/>
      <c r="C50" s="125"/>
      <c r="D50" s="125"/>
      <c r="E50" s="125"/>
      <c r="F50" s="125"/>
      <c r="G50" s="125"/>
      <c r="H50" s="125"/>
      <c r="I50" s="2"/>
      <c r="P50" s="2"/>
      <c r="Q50" s="2"/>
      <c r="R50" s="2"/>
      <c r="S50" s="2"/>
      <c r="T50" s="2"/>
      <c r="U50" s="2"/>
      <c r="V50" s="2"/>
      <c r="W50" s="2"/>
      <c r="X50" s="2"/>
      <c r="Y50" s="2"/>
      <c r="Z50" s="2"/>
      <c r="AA50" s="2"/>
      <c r="AB50" s="2"/>
      <c r="AC50" s="2"/>
      <c r="AD50" s="2"/>
      <c r="AE50" s="2"/>
    </row>
    <row r="51" spans="1:31" x14ac:dyDescent="0.45">
      <c r="A51" s="187" t="s">
        <v>301</v>
      </c>
      <c r="B51" s="242">
        <v>44882</v>
      </c>
      <c r="C51" s="125"/>
      <c r="D51" s="125"/>
      <c r="E51" s="125"/>
      <c r="F51" s="125"/>
      <c r="G51" s="125"/>
      <c r="H51" s="125"/>
    </row>
    <row r="52" spans="1:31" x14ac:dyDescent="0.45">
      <c r="C52" s="125"/>
      <c r="D52" s="125"/>
      <c r="E52" s="125"/>
      <c r="F52" s="125"/>
      <c r="G52" s="125"/>
      <c r="H52" s="125"/>
    </row>
    <row r="53" spans="1:31" x14ac:dyDescent="0.45">
      <c r="E53" s="125"/>
      <c r="F53" s="125"/>
      <c r="G53" s="125"/>
      <c r="H53" s="125"/>
    </row>
    <row r="54" spans="1:31" x14ac:dyDescent="0.45">
      <c r="E54" s="125"/>
      <c r="F54" s="125"/>
      <c r="G54" s="125"/>
      <c r="H54" s="125"/>
    </row>
    <row r="55" spans="1:31" x14ac:dyDescent="0.45">
      <c r="A55" s="125"/>
      <c r="B55" s="125"/>
      <c r="C55" s="125"/>
      <c r="D55" s="125"/>
      <c r="E55" s="125"/>
      <c r="F55" s="125"/>
      <c r="G55" s="125"/>
      <c r="H55" s="125"/>
    </row>
    <row r="56" spans="1:31" x14ac:dyDescent="0.45">
      <c r="A56" s="125"/>
      <c r="B56" s="125"/>
      <c r="C56" s="125"/>
      <c r="D56" s="125"/>
      <c r="E56" s="125"/>
      <c r="F56" s="125"/>
      <c r="G56" s="125"/>
      <c r="H56" s="125"/>
    </row>
    <row r="57" spans="1:31" x14ac:dyDescent="0.45">
      <c r="A57" s="125"/>
      <c r="B57" s="125"/>
      <c r="C57" s="125"/>
      <c r="D57" s="125"/>
      <c r="E57" s="125"/>
      <c r="F57" s="125"/>
      <c r="G57" s="125"/>
      <c r="H57" s="125"/>
    </row>
    <row r="58" spans="1:31" x14ac:dyDescent="0.45">
      <c r="E58" s="2"/>
      <c r="F58" s="2"/>
      <c r="H58" s="2"/>
    </row>
    <row r="59" spans="1:31" x14ac:dyDescent="0.45">
      <c r="E59" s="2"/>
      <c r="F59" s="2"/>
      <c r="H59" s="2"/>
    </row>
  </sheetData>
  <sheetProtection algorithmName="SHA-512" hashValue="czgg+hztGWOaa19rxyZz+5DCWbmVz4mndVBZL+P35QbS3/bQeIB+tlY4xobw1mPz6qzA0jMOjfDfPa/Ep8eZTA==" saltValue="l8ijiXJWWP7i9LzwtMAIqA==" spinCount="100000" sheet="1" formatCells="0" formatColumns="0" formatRows="0"/>
  <protectedRanges>
    <protectedRange sqref="J7" name="Range1"/>
  </protectedRanges>
  <mergeCells count="34">
    <mergeCell ref="A6:C6"/>
    <mergeCell ref="A7:C7"/>
    <mergeCell ref="E10:G10"/>
    <mergeCell ref="E11:G11"/>
    <mergeCell ref="J7:K22"/>
    <mergeCell ref="J6:K6"/>
    <mergeCell ref="D2:H2"/>
    <mergeCell ref="E19:G19"/>
    <mergeCell ref="E9:G9"/>
    <mergeCell ref="D4:H4"/>
    <mergeCell ref="D5:H5"/>
    <mergeCell ref="D7:H7"/>
    <mergeCell ref="D6:H6"/>
    <mergeCell ref="E14:G14"/>
    <mergeCell ref="E15:G15"/>
    <mergeCell ref="E16:G16"/>
    <mergeCell ref="E12:G12"/>
    <mergeCell ref="E13:G13"/>
    <mergeCell ref="C32:C33"/>
    <mergeCell ref="E32:H33"/>
    <mergeCell ref="A20:H20"/>
    <mergeCell ref="J1:K1"/>
    <mergeCell ref="J2:K2"/>
    <mergeCell ref="J3:K3"/>
    <mergeCell ref="J4:K4"/>
    <mergeCell ref="E17:G17"/>
    <mergeCell ref="E18:G18"/>
    <mergeCell ref="A1:H1"/>
    <mergeCell ref="A2:C2"/>
    <mergeCell ref="A3:C3"/>
    <mergeCell ref="A4:C4"/>
    <mergeCell ref="A5:C5"/>
    <mergeCell ref="A8:H8"/>
    <mergeCell ref="D3:F3"/>
  </mergeCells>
  <phoneticPr fontId="18" type="noConversion"/>
  <pageMargins left="0.7" right="0.7" top="0.75" bottom="0.75" header="0.3" footer="0.3"/>
  <pageSetup scale="77" fitToWidth="0" fitToHeight="0" orientation="landscape" r:id="rId1"/>
  <headerFooter>
    <oddFooter>&amp;LSC SQT Debit Calculator v1.1
Project Assessment</oddFooter>
  </headerFooter>
  <rowBreaks count="1" manualBreakCount="1">
    <brk id="19" max="7" man="1"/>
  </rowBreaks>
  <colBreaks count="1" manualBreakCount="1">
    <brk id="8" max="1048575" man="1"/>
  </colBreaks>
  <legacyDrawing r:id="rId2"/>
  <extLst>
    <ext xmlns:x14="http://schemas.microsoft.com/office/spreadsheetml/2009/9/main" uri="{CCE6A557-97BC-4b89-ADB6-D9C93CAAB3DF}">
      <x14:dataValidations xmlns:xm="http://schemas.microsoft.com/office/excel/2006/main" count="4">
        <x14:dataValidation type="list" allowBlank="1" showInputMessage="1" showErrorMessage="1" xr:uid="{0EB6BD3A-785A-45FC-8D96-D1B4B5560F9E}">
          <x14:formula1>
            <xm:f>'Pull Down Notes'!$F$7:$F$11</xm:f>
          </x14:formula1>
          <xm:sqref>C10:C19</xm:sqref>
        </x14:dataValidation>
        <x14:dataValidation type="list" allowBlank="1" showInputMessage="1" showErrorMessage="1" xr:uid="{A890B41E-0566-4743-A8B5-6580BFE8F7E8}">
          <x14:formula1>
            <xm:f>'Pull Down Notes'!$F$32:$F$35</xm:f>
          </x14:formula1>
          <xm:sqref>D10:D19</xm:sqref>
        </x14:dataValidation>
        <x14:dataValidation type="list" allowBlank="1" showInputMessage="1" showErrorMessage="1" xr:uid="{27B57540-0515-4531-AFF8-8D51357190E5}">
          <x14:formula1>
            <xm:f>'Pull Down Notes'!$F$47:$F$50</xm:f>
          </x14:formula1>
          <xm:sqref>E22:E31</xm:sqref>
        </x14:dataValidation>
        <x14:dataValidation type="list" allowBlank="1" showInputMessage="1" showErrorMessage="1" xr:uid="{F677D7A0-B07E-40D6-957E-6555A493B976}">
          <x14:formula1>
            <xm:f>'Pull Down Notes'!$F$1:$F$5</xm:f>
          </x14:formula1>
          <xm:sqref>B10:B19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Y60"/>
  <sheetViews>
    <sheetView zoomScaleNormal="100" zoomScaleSheetLayoutView="100" workbookViewId="0">
      <selection activeCell="G2" sqref="G2:K2"/>
    </sheetView>
  </sheetViews>
  <sheetFormatPr defaultColWidth="9.1328125" defaultRowHeight="14.25" x14ac:dyDescent="0.45"/>
  <cols>
    <col min="1" max="1" width="18.265625" style="31" customWidth="1"/>
    <col min="2" max="2" width="19.1328125" style="31" hidden="1" customWidth="1"/>
    <col min="3" max="3" width="29.265625" style="31" customWidth="1"/>
    <col min="4" max="4" width="8.265625" style="31" customWidth="1"/>
    <col min="5" max="6" width="10" style="31" customWidth="1"/>
    <col min="7" max="7" width="11.86328125" style="31" customWidth="1"/>
    <col min="8" max="8" width="10.73046875" style="31" customWidth="1"/>
    <col min="9" max="10" width="11.86328125" style="31" customWidth="1"/>
    <col min="11" max="11" width="13.1328125" style="31" customWidth="1"/>
    <col min="12" max="12" width="15" style="31" hidden="1" customWidth="1"/>
    <col min="13" max="13" width="16.265625" style="31" customWidth="1"/>
    <col min="14" max="14" width="14.73046875" style="31" customWidth="1"/>
    <col min="15" max="15" width="13.86328125" style="31" customWidth="1"/>
    <col min="16" max="16" width="27" style="31" bestFit="1" customWidth="1"/>
    <col min="17" max="17" width="9.86328125" style="31" customWidth="1"/>
    <col min="18" max="16384" width="9.1328125" style="31"/>
  </cols>
  <sheetData>
    <row r="1" spans="1:25" ht="21" x14ac:dyDescent="0.65">
      <c r="A1" s="347" t="s">
        <v>112</v>
      </c>
      <c r="B1" s="200"/>
      <c r="C1" s="363">
        <f>('Project Summary'!D2)</f>
        <v>0</v>
      </c>
      <c r="D1" s="364"/>
      <c r="E1" s="365"/>
      <c r="F1" s="33"/>
      <c r="G1" s="336" t="s">
        <v>238</v>
      </c>
      <c r="H1" s="336"/>
      <c r="I1" s="336"/>
      <c r="J1" s="336"/>
      <c r="K1" s="336"/>
    </row>
    <row r="2" spans="1:25" ht="18" customHeight="1" x14ac:dyDescent="0.5">
      <c r="A2" s="347"/>
      <c r="B2" s="201"/>
      <c r="C2" s="366"/>
      <c r="D2" s="367"/>
      <c r="E2" s="368"/>
      <c r="F2" s="33"/>
      <c r="G2" s="339" t="s">
        <v>311</v>
      </c>
      <c r="H2" s="340"/>
      <c r="I2" s="340"/>
      <c r="J2" s="340"/>
      <c r="K2" s="341"/>
      <c r="L2" s="73"/>
    </row>
    <row r="3" spans="1:25" ht="18" customHeight="1" x14ac:dyDescent="0.5">
      <c r="A3" s="78" t="s">
        <v>113</v>
      </c>
      <c r="B3" s="202"/>
      <c r="C3" s="360">
        <f>('Project Summary'!H3)</f>
        <v>0</v>
      </c>
      <c r="D3" s="361"/>
      <c r="E3" s="362"/>
      <c r="F3" s="33"/>
      <c r="G3" s="385" t="s">
        <v>239</v>
      </c>
      <c r="H3" s="386"/>
      <c r="I3" s="386"/>
      <c r="J3" s="386"/>
      <c r="K3" s="387"/>
      <c r="L3" s="74"/>
    </row>
    <row r="4" spans="1:25" ht="18" customHeight="1" x14ac:dyDescent="0.5">
      <c r="A4" s="354" t="s">
        <v>304</v>
      </c>
      <c r="B4" s="203"/>
      <c r="C4" s="348">
        <f>'Project Summary'!D4</f>
        <v>0</v>
      </c>
      <c r="D4" s="349"/>
      <c r="E4" s="350"/>
      <c r="F4" s="34"/>
      <c r="G4" s="388" t="s">
        <v>312</v>
      </c>
      <c r="H4" s="389"/>
      <c r="I4" s="389"/>
      <c r="J4" s="389"/>
      <c r="K4" s="390"/>
      <c r="Q4" s="35"/>
      <c r="R4" s="35"/>
      <c r="S4" s="35"/>
      <c r="T4" s="35"/>
      <c r="U4" s="35"/>
      <c r="V4" s="35"/>
      <c r="W4" s="35"/>
      <c r="X4" s="35"/>
      <c r="Y4" s="36"/>
    </row>
    <row r="5" spans="1:25" ht="33" customHeight="1" x14ac:dyDescent="0.45">
      <c r="A5" s="355"/>
      <c r="B5" s="204"/>
      <c r="C5" s="351"/>
      <c r="D5" s="352"/>
      <c r="E5" s="353"/>
      <c r="Q5" s="35"/>
      <c r="R5" s="35"/>
      <c r="S5" s="35"/>
      <c r="T5" s="35"/>
      <c r="U5" s="35"/>
      <c r="V5" s="35"/>
      <c r="W5" s="35"/>
      <c r="X5" s="35"/>
      <c r="Y5" s="36"/>
    </row>
    <row r="6" spans="1:25" ht="9" customHeight="1" thickBot="1" x14ac:dyDescent="0.5">
      <c r="A6" s="132"/>
      <c r="B6" s="205"/>
      <c r="Q6" s="35"/>
      <c r="R6" s="35"/>
      <c r="S6" s="35"/>
      <c r="T6" s="35"/>
      <c r="U6" s="35"/>
      <c r="V6" s="35"/>
      <c r="W6" s="35"/>
      <c r="X6" s="35"/>
      <c r="Y6" s="36"/>
    </row>
    <row r="7" spans="1:25" ht="21.75" customHeight="1" thickBot="1" x14ac:dyDescent="0.7">
      <c r="A7" s="344" t="s">
        <v>331</v>
      </c>
      <c r="B7" s="345"/>
      <c r="C7" s="345"/>
      <c r="D7" s="345"/>
      <c r="E7" s="345"/>
      <c r="F7" s="345"/>
      <c r="G7" s="345"/>
      <c r="H7" s="345"/>
      <c r="I7" s="345"/>
      <c r="J7" s="345"/>
      <c r="K7" s="346"/>
      <c r="L7" s="75"/>
      <c r="Q7" s="35"/>
      <c r="R7" s="35"/>
      <c r="S7" s="35"/>
      <c r="T7" s="35"/>
      <c r="U7" s="35"/>
      <c r="V7" s="35"/>
      <c r="W7" s="35"/>
      <c r="X7" s="35"/>
      <c r="Y7" s="36"/>
    </row>
    <row r="8" spans="1:25" ht="42.75" x14ac:dyDescent="0.45">
      <c r="A8" s="172" t="s">
        <v>314</v>
      </c>
      <c r="B8" s="173"/>
      <c r="C8" s="173" t="str">
        <f>'Project Summary'!D9</f>
        <v>Priority Category</v>
      </c>
      <c r="D8" s="174" t="s">
        <v>315</v>
      </c>
      <c r="E8" s="174" t="s">
        <v>93</v>
      </c>
      <c r="F8" s="174" t="s">
        <v>128</v>
      </c>
      <c r="G8" s="174" t="s">
        <v>161</v>
      </c>
      <c r="H8" s="174" t="s">
        <v>163</v>
      </c>
      <c r="I8" s="174" t="s">
        <v>162</v>
      </c>
      <c r="J8" s="180" t="s">
        <v>350</v>
      </c>
      <c r="K8" s="179" t="s">
        <v>129</v>
      </c>
      <c r="L8" s="76"/>
      <c r="Q8" s="35"/>
      <c r="R8" s="35"/>
      <c r="S8" s="35"/>
      <c r="T8" s="35"/>
      <c r="U8" s="35"/>
      <c r="V8" s="35"/>
      <c r="W8" s="35"/>
      <c r="X8" s="35"/>
      <c r="Y8" s="36"/>
    </row>
    <row r="9" spans="1:25" x14ac:dyDescent="0.45">
      <c r="A9" s="178">
        <f>'Project Summary'!A10:C10</f>
        <v>0</v>
      </c>
      <c r="B9" s="206"/>
      <c r="C9" s="55">
        <f>'Project Summary'!D10</f>
        <v>0</v>
      </c>
      <c r="D9" s="196"/>
      <c r="E9" s="50"/>
      <c r="F9" s="50"/>
      <c r="G9" s="72" t="str">
        <f t="shared" ref="G9:G18" si="0">IF(C9=0,"",IF(AND(D9=1,C9="Primary"),$H$23,IF(AND(D9=1,C9="Secondary"),$H$26,IF(AND(D9=1,C9="Tertiary"),$H$28,IF(OR(D9="2a",D9="2b",D9=3),IF(K23&lt;0.3,0.3,K23))))))</f>
        <v/>
      </c>
      <c r="H9" s="196"/>
      <c r="I9" s="37" t="str">
        <f>IFERROR(ROUND(G9*VLOOKUP(H9,A$44:B$50,2,FALSE),2),"")</f>
        <v/>
      </c>
      <c r="J9" s="193" t="str">
        <f t="shared" ref="J9:J18" si="1">IFERROR(ROUND((F9*I9)-(E9*G9),2),"")</f>
        <v/>
      </c>
      <c r="K9" s="54" t="str">
        <f>_xlfn.CONCAT(IF(LEFT('Project Summary'!B10,1)="S","P", LEFT('Project Summary'!B10,1)),'Project Summary'!C10)</f>
        <v/>
      </c>
      <c r="L9" s="77"/>
      <c r="Q9" s="35"/>
      <c r="R9" s="35"/>
      <c r="S9" s="35"/>
      <c r="T9" s="35"/>
      <c r="U9" s="35"/>
      <c r="V9" s="35"/>
      <c r="W9" s="35"/>
      <c r="X9" s="35"/>
      <c r="Y9" s="36"/>
    </row>
    <row r="10" spans="1:25" ht="14.45" customHeight="1" x14ac:dyDescent="0.45">
      <c r="A10" s="178">
        <f>'Project Summary'!A11:C11</f>
        <v>0</v>
      </c>
      <c r="B10" s="206"/>
      <c r="C10" s="55">
        <f>'Project Summary'!D11</f>
        <v>0</v>
      </c>
      <c r="D10" s="196"/>
      <c r="E10" s="50"/>
      <c r="F10" s="50"/>
      <c r="G10" s="72" t="str">
        <f t="shared" si="0"/>
        <v/>
      </c>
      <c r="H10" s="196"/>
      <c r="I10" s="37" t="str">
        <f t="shared" ref="I10:I18" si="2">IFERROR(ROUND(G10*VLOOKUP(H10,A$44:B$50,2,FALSE),2),"")</f>
        <v/>
      </c>
      <c r="J10" s="193" t="str">
        <f>IFERROR(ROUND((F10*I10)-(E10*G10),2),"")</f>
        <v/>
      </c>
      <c r="K10" s="54" t="str">
        <f>_xlfn.CONCAT(IF(LEFT('Project Summary'!B11,1)="S","P", LEFT('Project Summary'!B11,1)),'Project Summary'!C11)</f>
        <v/>
      </c>
      <c r="L10" s="77"/>
      <c r="Q10" s="35"/>
      <c r="R10" s="35"/>
      <c r="S10" s="35"/>
      <c r="T10" s="35"/>
      <c r="U10" s="35"/>
      <c r="V10" s="35"/>
      <c r="W10" s="35"/>
      <c r="X10" s="35"/>
      <c r="Y10" s="36"/>
    </row>
    <row r="11" spans="1:25" ht="14.45" customHeight="1" x14ac:dyDescent="0.45">
      <c r="A11" s="178">
        <f>'Project Summary'!A12:C12</f>
        <v>0</v>
      </c>
      <c r="B11" s="206"/>
      <c r="C11" s="55">
        <f>'Project Summary'!D12</f>
        <v>0</v>
      </c>
      <c r="D11" s="196"/>
      <c r="E11" s="50"/>
      <c r="F11" s="50"/>
      <c r="G11" s="72" t="str">
        <f t="shared" si="0"/>
        <v/>
      </c>
      <c r="H11" s="196"/>
      <c r="I11" s="37" t="str">
        <f t="shared" si="2"/>
        <v/>
      </c>
      <c r="J11" s="193" t="str">
        <f t="shared" si="1"/>
        <v/>
      </c>
      <c r="K11" s="54" t="str">
        <f>_xlfn.CONCAT(IF(LEFT('Project Summary'!B12,1)="S","P", LEFT('Project Summary'!B12,1)),'Project Summary'!C12)</f>
        <v/>
      </c>
      <c r="L11" s="77"/>
      <c r="Q11" s="35"/>
      <c r="R11" s="35"/>
      <c r="S11" s="35"/>
      <c r="T11" s="35"/>
      <c r="U11" s="35"/>
      <c r="V11" s="35"/>
      <c r="W11" s="35"/>
      <c r="X11" s="35"/>
      <c r="Y11" s="36"/>
    </row>
    <row r="12" spans="1:25" ht="14.45" customHeight="1" x14ac:dyDescent="0.45">
      <c r="A12" s="178">
        <f>'Project Summary'!A13:C13</f>
        <v>0</v>
      </c>
      <c r="B12" s="206"/>
      <c r="C12" s="55">
        <f>'Project Summary'!D13</f>
        <v>0</v>
      </c>
      <c r="D12" s="196"/>
      <c r="E12" s="50"/>
      <c r="F12" s="50"/>
      <c r="G12" s="72" t="str">
        <f t="shared" si="0"/>
        <v/>
      </c>
      <c r="H12" s="196"/>
      <c r="I12" s="37" t="str">
        <f t="shared" si="2"/>
        <v/>
      </c>
      <c r="J12" s="193" t="str">
        <f t="shared" si="1"/>
        <v/>
      </c>
      <c r="K12" s="54" t="str">
        <f>_xlfn.CONCAT(IF(LEFT('Project Summary'!B13,1)="S","P", LEFT('Project Summary'!B13,1)),'Project Summary'!C13)</f>
        <v/>
      </c>
      <c r="L12" s="77"/>
      <c r="Q12" s="35"/>
      <c r="R12" s="35"/>
      <c r="S12" s="35"/>
      <c r="T12" s="35"/>
      <c r="U12" s="35"/>
      <c r="V12" s="35"/>
      <c r="W12" s="35"/>
      <c r="X12" s="35"/>
      <c r="Y12" s="36"/>
    </row>
    <row r="13" spans="1:25" ht="14.45" customHeight="1" x14ac:dyDescent="0.45">
      <c r="A13" s="178">
        <f>'Project Summary'!A14:C14</f>
        <v>0</v>
      </c>
      <c r="B13" s="206"/>
      <c r="C13" s="55">
        <f>'Project Summary'!D14</f>
        <v>0</v>
      </c>
      <c r="D13" s="196"/>
      <c r="E13" s="50"/>
      <c r="F13" s="50"/>
      <c r="G13" s="72" t="str">
        <f t="shared" si="0"/>
        <v/>
      </c>
      <c r="H13" s="196"/>
      <c r="I13" s="37" t="str">
        <f t="shared" si="2"/>
        <v/>
      </c>
      <c r="J13" s="193" t="str">
        <f t="shared" si="1"/>
        <v/>
      </c>
      <c r="K13" s="54" t="str">
        <f>_xlfn.CONCAT(IF(LEFT('Project Summary'!B14,1)="S","P", LEFT('Project Summary'!B14,1)),'Project Summary'!C14)</f>
        <v/>
      </c>
      <c r="L13" s="77"/>
      <c r="Q13" s="35"/>
      <c r="R13" s="35"/>
      <c r="S13" s="35"/>
      <c r="T13" s="35"/>
      <c r="U13" s="35"/>
      <c r="V13" s="35"/>
      <c r="W13" s="35"/>
      <c r="X13" s="35"/>
      <c r="Y13" s="36"/>
    </row>
    <row r="14" spans="1:25" ht="14.45" customHeight="1" x14ac:dyDescent="0.45">
      <c r="A14" s="178">
        <f>'Project Summary'!A15:C15</f>
        <v>0</v>
      </c>
      <c r="B14" s="206"/>
      <c r="C14" s="55">
        <f>'Project Summary'!D15</f>
        <v>0</v>
      </c>
      <c r="D14" s="196"/>
      <c r="E14" s="50"/>
      <c r="F14" s="50"/>
      <c r="G14" s="72" t="str">
        <f t="shared" si="0"/>
        <v/>
      </c>
      <c r="H14" s="196"/>
      <c r="I14" s="37" t="str">
        <f t="shared" si="2"/>
        <v/>
      </c>
      <c r="J14" s="193" t="str">
        <f t="shared" si="1"/>
        <v/>
      </c>
      <c r="K14" s="54" t="str">
        <f>_xlfn.CONCAT(IF(LEFT('Project Summary'!B15,1)="S","P", LEFT('Project Summary'!B15,1)),'Project Summary'!C15)</f>
        <v/>
      </c>
      <c r="L14" s="77"/>
      <c r="R14" s="36"/>
      <c r="S14" s="36"/>
      <c r="T14" s="36"/>
      <c r="U14" s="36"/>
      <c r="V14" s="36"/>
      <c r="W14" s="36"/>
      <c r="X14" s="36"/>
      <c r="Y14" s="36"/>
    </row>
    <row r="15" spans="1:25" ht="14.45" customHeight="1" x14ac:dyDescent="0.45">
      <c r="A15" s="178">
        <f>'Project Summary'!A16:C16</f>
        <v>0</v>
      </c>
      <c r="B15" s="206"/>
      <c r="C15" s="55">
        <f>'Project Summary'!D16</f>
        <v>0</v>
      </c>
      <c r="D15" s="196"/>
      <c r="E15" s="50"/>
      <c r="F15" s="50"/>
      <c r="G15" s="72" t="str">
        <f t="shared" si="0"/>
        <v/>
      </c>
      <c r="H15" s="196"/>
      <c r="I15" s="37" t="str">
        <f t="shared" si="2"/>
        <v/>
      </c>
      <c r="J15" s="193" t="str">
        <f t="shared" si="1"/>
        <v/>
      </c>
      <c r="K15" s="54" t="str">
        <f>_xlfn.CONCAT(IF(LEFT('Project Summary'!B16,1)="S","P", LEFT('Project Summary'!B16,1)),'Project Summary'!C16)</f>
        <v/>
      </c>
      <c r="L15" s="77"/>
      <c r="R15" s="36"/>
      <c r="S15" s="36"/>
      <c r="T15" s="36"/>
      <c r="U15" s="36"/>
      <c r="V15" s="36"/>
      <c r="W15" s="36"/>
      <c r="X15" s="36"/>
      <c r="Y15" s="36"/>
    </row>
    <row r="16" spans="1:25" ht="14.45" customHeight="1" x14ac:dyDescent="0.45">
      <c r="A16" s="178">
        <f>'Project Summary'!A17:C17</f>
        <v>0</v>
      </c>
      <c r="B16" s="206"/>
      <c r="C16" s="55">
        <f>'Project Summary'!D17</f>
        <v>0</v>
      </c>
      <c r="D16" s="196"/>
      <c r="E16" s="50"/>
      <c r="F16" s="50"/>
      <c r="G16" s="72" t="str">
        <f t="shared" si="0"/>
        <v/>
      </c>
      <c r="H16" s="196"/>
      <c r="I16" s="37" t="str">
        <f t="shared" si="2"/>
        <v/>
      </c>
      <c r="J16" s="193" t="str">
        <f t="shared" si="1"/>
        <v/>
      </c>
      <c r="K16" s="54" t="str">
        <f>_xlfn.CONCAT(IF(LEFT('Project Summary'!B17,1)="S","P", LEFT('Project Summary'!B17,1)),'Project Summary'!C17)</f>
        <v/>
      </c>
      <c r="L16" s="77"/>
      <c r="R16" s="36"/>
      <c r="S16" s="36"/>
      <c r="T16" s="36"/>
      <c r="U16" s="36"/>
      <c r="V16" s="36"/>
      <c r="W16" s="36"/>
      <c r="X16" s="36"/>
      <c r="Y16" s="36"/>
    </row>
    <row r="17" spans="1:25" ht="14.45" customHeight="1" x14ac:dyDescent="0.45">
      <c r="A17" s="178">
        <f>'Project Summary'!A18:C18</f>
        <v>0</v>
      </c>
      <c r="B17" s="206"/>
      <c r="C17" s="55">
        <f>'Project Summary'!D18</f>
        <v>0</v>
      </c>
      <c r="D17" s="196"/>
      <c r="E17" s="50"/>
      <c r="F17" s="50"/>
      <c r="G17" s="72" t="str">
        <f t="shared" si="0"/>
        <v/>
      </c>
      <c r="H17" s="196"/>
      <c r="I17" s="37" t="str">
        <f t="shared" si="2"/>
        <v/>
      </c>
      <c r="J17" s="193" t="str">
        <f t="shared" si="1"/>
        <v/>
      </c>
      <c r="K17" s="54" t="str">
        <f>_xlfn.CONCAT(IF(LEFT('Project Summary'!B18,1)="S","P", LEFT('Project Summary'!B18,1)),'Project Summary'!C18)</f>
        <v/>
      </c>
      <c r="L17" s="77"/>
      <c r="M17" s="38"/>
      <c r="R17" s="36"/>
      <c r="S17" s="36"/>
      <c r="T17" s="36"/>
      <c r="U17" s="36"/>
      <c r="V17" s="36"/>
      <c r="W17" s="36"/>
      <c r="X17" s="36"/>
      <c r="Y17" s="36"/>
    </row>
    <row r="18" spans="1:25" ht="14.45" customHeight="1" x14ac:dyDescent="0.45">
      <c r="A18" s="178">
        <f>'Project Summary'!A19:C19</f>
        <v>0</v>
      </c>
      <c r="B18" s="206"/>
      <c r="C18" s="55">
        <f>'Project Summary'!D19</f>
        <v>0</v>
      </c>
      <c r="D18" s="196"/>
      <c r="E18" s="50"/>
      <c r="F18" s="50"/>
      <c r="G18" s="72" t="str">
        <f t="shared" si="0"/>
        <v/>
      </c>
      <c r="H18" s="196"/>
      <c r="I18" s="37" t="str">
        <f t="shared" si="2"/>
        <v/>
      </c>
      <c r="J18" s="193" t="str">
        <f t="shared" si="1"/>
        <v/>
      </c>
      <c r="K18" s="54" t="str">
        <f>_xlfn.CONCAT(IF(LEFT('Project Summary'!B19,1)="S","P", LEFT('Project Summary'!B19,1)),'Project Summary'!C19)</f>
        <v/>
      </c>
      <c r="L18" s="77"/>
      <c r="M18" s="38"/>
      <c r="R18" s="36"/>
      <c r="S18" s="36"/>
      <c r="T18" s="36"/>
      <c r="U18" s="36"/>
      <c r="V18" s="36"/>
      <c r="W18" s="36"/>
      <c r="X18" s="36"/>
      <c r="Y18" s="36"/>
    </row>
    <row r="19" spans="1:25" ht="31.5" customHeight="1" thickBot="1" x14ac:dyDescent="0.5">
      <c r="A19" s="356" t="s">
        <v>349</v>
      </c>
      <c r="B19" s="357"/>
      <c r="C19" s="358"/>
      <c r="D19" s="358"/>
      <c r="E19" s="358"/>
      <c r="F19" s="358"/>
      <c r="G19" s="358"/>
      <c r="H19" s="358"/>
      <c r="I19" s="359"/>
      <c r="J19" s="342">
        <f>SUM(J9:J18)</f>
        <v>0</v>
      </c>
      <c r="K19" s="343"/>
      <c r="L19" s="51"/>
      <c r="M19" s="38"/>
    </row>
    <row r="20" spans="1:25" ht="8.25" customHeight="1" thickBot="1" x14ac:dyDescent="0.5">
      <c r="A20" s="34"/>
      <c r="B20" s="34"/>
      <c r="C20" s="34"/>
      <c r="D20" s="34"/>
      <c r="E20" s="34"/>
      <c r="F20" s="34"/>
      <c r="G20" s="34"/>
      <c r="H20" s="34"/>
      <c r="I20" s="38"/>
      <c r="J20" s="38"/>
      <c r="K20" s="38"/>
      <c r="L20" s="38"/>
      <c r="M20" s="38"/>
    </row>
    <row r="21" spans="1:25" ht="30" customHeight="1" thickTop="1" thickBot="1" x14ac:dyDescent="0.5">
      <c r="A21" s="372" t="s">
        <v>332</v>
      </c>
      <c r="B21" s="373"/>
      <c r="C21" s="373"/>
      <c r="D21" s="373"/>
      <c r="E21" s="374"/>
      <c r="F21" s="391" t="s">
        <v>333</v>
      </c>
      <c r="G21" s="400"/>
      <c r="H21" s="401"/>
      <c r="I21" s="391" t="s">
        <v>354</v>
      </c>
      <c r="J21" s="400"/>
      <c r="K21" s="401"/>
      <c r="L21" s="38"/>
      <c r="M21" s="38"/>
    </row>
    <row r="22" spans="1:25" ht="29.25" customHeight="1" thickTop="1" thickBot="1" x14ac:dyDescent="0.5">
      <c r="A22" s="220" t="s">
        <v>111</v>
      </c>
      <c r="B22" s="221"/>
      <c r="C22" s="221" t="s">
        <v>82</v>
      </c>
      <c r="D22" s="404" t="s">
        <v>164</v>
      </c>
      <c r="E22" s="401"/>
      <c r="F22" s="391" t="s">
        <v>177</v>
      </c>
      <c r="G22" s="392"/>
      <c r="H22" s="243" t="s">
        <v>317</v>
      </c>
      <c r="I22" s="402" t="s">
        <v>114</v>
      </c>
      <c r="J22" s="403"/>
      <c r="K22" s="241" t="s">
        <v>82</v>
      </c>
      <c r="L22" s="76"/>
    </row>
    <row r="23" spans="1:25" ht="15" thickTop="1" thickBot="1" x14ac:dyDescent="0.5">
      <c r="A23" s="377">
        <v>1</v>
      </c>
      <c r="B23" s="209"/>
      <c r="C23" s="369" t="s">
        <v>335</v>
      </c>
      <c r="D23" s="375" t="s">
        <v>160</v>
      </c>
      <c r="E23" s="376"/>
      <c r="F23" s="379" t="s">
        <v>172</v>
      </c>
      <c r="G23" s="380"/>
      <c r="H23" s="337">
        <v>1</v>
      </c>
      <c r="I23" s="393">
        <f>'Project Summary'!A10</f>
        <v>0</v>
      </c>
      <c r="J23" s="394"/>
      <c r="K23" s="225">
        <f>'Existing Conditions'!J9</f>
        <v>1</v>
      </c>
      <c r="L23" s="222" t="s">
        <v>164</v>
      </c>
    </row>
    <row r="24" spans="1:25" ht="14.65" thickTop="1" x14ac:dyDescent="0.45">
      <c r="A24" s="378"/>
      <c r="B24" s="208"/>
      <c r="C24" s="370"/>
      <c r="D24" s="332"/>
      <c r="E24" s="333"/>
      <c r="F24" s="381"/>
      <c r="G24" s="382"/>
      <c r="H24" s="338"/>
      <c r="I24" s="395">
        <f>'Project Summary'!A11</f>
        <v>0</v>
      </c>
      <c r="J24" s="396"/>
      <c r="K24" s="226">
        <f>'Existing Conditions'!J47</f>
        <v>1</v>
      </c>
      <c r="L24" s="223" t="e">
        <f>#REF!</f>
        <v>#REF!</v>
      </c>
    </row>
    <row r="25" spans="1:25" ht="20.25" customHeight="1" x14ac:dyDescent="0.45">
      <c r="A25" s="378"/>
      <c r="B25" s="208"/>
      <c r="C25" s="371"/>
      <c r="D25" s="334"/>
      <c r="E25" s="335"/>
      <c r="F25" s="383"/>
      <c r="G25" s="384"/>
      <c r="H25" s="338"/>
      <c r="I25" s="395">
        <f>'Project Summary'!A12</f>
        <v>0</v>
      </c>
      <c r="J25" s="396"/>
      <c r="K25" s="226">
        <f>'Existing Conditions'!J85</f>
        <v>1</v>
      </c>
      <c r="L25" s="224" t="e">
        <f>#REF!</f>
        <v>#REF!</v>
      </c>
    </row>
    <row r="26" spans="1:25" ht="19.899999999999999" customHeight="1" x14ac:dyDescent="0.45">
      <c r="A26" s="378" t="s">
        <v>290</v>
      </c>
      <c r="B26" s="208"/>
      <c r="C26" s="424" t="s">
        <v>336</v>
      </c>
      <c r="D26" s="330" t="s">
        <v>160</v>
      </c>
      <c r="E26" s="331"/>
      <c r="F26" s="411" t="s">
        <v>173</v>
      </c>
      <c r="G26" s="412"/>
      <c r="H26" s="338">
        <v>0.8</v>
      </c>
      <c r="I26" s="395">
        <f>'Project Summary'!A13</f>
        <v>0</v>
      </c>
      <c r="J26" s="396"/>
      <c r="K26" s="226">
        <f>'Existing Conditions'!J123</f>
        <v>1</v>
      </c>
      <c r="L26" s="224" t="e">
        <f>#REF!</f>
        <v>#REF!</v>
      </c>
    </row>
    <row r="27" spans="1:25" ht="19.899999999999999" customHeight="1" x14ac:dyDescent="0.45">
      <c r="A27" s="378"/>
      <c r="B27" s="208"/>
      <c r="C27" s="370"/>
      <c r="D27" s="332"/>
      <c r="E27" s="333"/>
      <c r="F27" s="383"/>
      <c r="G27" s="384"/>
      <c r="H27" s="338"/>
      <c r="I27" s="395">
        <f>'Project Summary'!A14</f>
        <v>0</v>
      </c>
      <c r="J27" s="396"/>
      <c r="K27" s="226">
        <f>'Existing Conditions'!J161</f>
        <v>1</v>
      </c>
      <c r="L27" s="224" t="e">
        <f>#REF!</f>
        <v>#REF!</v>
      </c>
      <c r="Q27" s="39"/>
    </row>
    <row r="28" spans="1:25" ht="19.899999999999999" customHeight="1" x14ac:dyDescent="0.45">
      <c r="A28" s="378"/>
      <c r="B28" s="208"/>
      <c r="C28" s="370"/>
      <c r="D28" s="332"/>
      <c r="E28" s="333"/>
      <c r="F28" s="411" t="s">
        <v>174</v>
      </c>
      <c r="G28" s="412"/>
      <c r="H28" s="338">
        <v>0.7</v>
      </c>
      <c r="I28" s="395">
        <f>'Project Summary'!A15</f>
        <v>0</v>
      </c>
      <c r="J28" s="396"/>
      <c r="K28" s="226">
        <f>'Existing Conditions'!J199</f>
        <v>1</v>
      </c>
      <c r="L28" s="224" t="e">
        <f>#REF!</f>
        <v>#REF!</v>
      </c>
      <c r="Q28" s="39"/>
      <c r="R28" s="39"/>
    </row>
    <row r="29" spans="1:25" ht="19.899999999999999" customHeight="1" thickBot="1" x14ac:dyDescent="0.5">
      <c r="A29" s="378"/>
      <c r="B29" s="208"/>
      <c r="C29" s="371"/>
      <c r="D29" s="334"/>
      <c r="E29" s="335"/>
      <c r="F29" s="413"/>
      <c r="G29" s="414"/>
      <c r="H29" s="408"/>
      <c r="I29" s="395">
        <f>'Project Summary'!A16</f>
        <v>0</v>
      </c>
      <c r="J29" s="396"/>
      <c r="K29" s="226">
        <f>'Existing Conditions'!J237</f>
        <v>1</v>
      </c>
      <c r="L29" s="224" t="e">
        <f>#REF!</f>
        <v>#REF!</v>
      </c>
      <c r="Q29" s="39"/>
      <c r="R29" s="39"/>
    </row>
    <row r="30" spans="1:25" ht="14.65" thickTop="1" x14ac:dyDescent="0.45">
      <c r="A30" s="378" t="s">
        <v>291</v>
      </c>
      <c r="B30" s="208"/>
      <c r="C30" s="424" t="s">
        <v>379</v>
      </c>
      <c r="D30" s="330" t="s">
        <v>160</v>
      </c>
      <c r="E30" s="331"/>
      <c r="I30" s="395">
        <f>'Project Summary'!A17</f>
        <v>0</v>
      </c>
      <c r="J30" s="396"/>
      <c r="K30" s="226">
        <f>'Existing Conditions'!J275</f>
        <v>1</v>
      </c>
      <c r="L30" s="224" t="e">
        <f>#REF!</f>
        <v>#REF!</v>
      </c>
      <c r="Q30" s="39"/>
      <c r="R30" s="39"/>
    </row>
    <row r="31" spans="1:25" x14ac:dyDescent="0.45">
      <c r="A31" s="378"/>
      <c r="B31" s="208"/>
      <c r="C31" s="370"/>
      <c r="D31" s="332"/>
      <c r="E31" s="333"/>
      <c r="I31" s="395">
        <f>'Project Summary'!A18</f>
        <v>0</v>
      </c>
      <c r="J31" s="396"/>
      <c r="K31" s="226">
        <f>'Existing Conditions'!J313</f>
        <v>1</v>
      </c>
      <c r="L31" s="224" t="e">
        <f>#REF!</f>
        <v>#REF!</v>
      </c>
      <c r="Q31" s="39"/>
      <c r="R31" s="39"/>
    </row>
    <row r="32" spans="1:25" x14ac:dyDescent="0.45">
      <c r="A32" s="378"/>
      <c r="B32" s="208"/>
      <c r="C32" s="370"/>
      <c r="D32" s="332"/>
      <c r="E32" s="333"/>
      <c r="I32" s="395">
        <f>'Project Summary'!A19</f>
        <v>0</v>
      </c>
      <c r="J32" s="396"/>
      <c r="K32" s="226">
        <f>'Existing Conditions'!J351</f>
        <v>1</v>
      </c>
      <c r="L32" s="224" t="e">
        <f>#REF!</f>
        <v>#REF!</v>
      </c>
      <c r="Q32" s="39"/>
      <c r="R32" s="39"/>
    </row>
    <row r="33" spans="1:18" ht="36.4" customHeight="1" thickBot="1" x14ac:dyDescent="0.5">
      <c r="A33" s="378"/>
      <c r="B33" s="208"/>
      <c r="C33" s="371"/>
      <c r="D33" s="334"/>
      <c r="E33" s="335"/>
      <c r="I33" s="405" t="s">
        <v>344</v>
      </c>
      <c r="J33" s="406"/>
      <c r="K33" s="407"/>
      <c r="L33" s="224" t="e">
        <f>#REF!</f>
        <v>#REF!</v>
      </c>
      <c r="P33" s="39"/>
    </row>
    <row r="34" spans="1:18" ht="17.45" customHeight="1" thickTop="1" x14ac:dyDescent="0.45">
      <c r="A34" s="378">
        <v>3</v>
      </c>
      <c r="B34" s="208"/>
      <c r="C34" s="424" t="s">
        <v>337</v>
      </c>
      <c r="D34" s="330" t="s">
        <v>160</v>
      </c>
      <c r="E34" s="331"/>
      <c r="L34" s="94"/>
      <c r="P34" s="39"/>
    </row>
    <row r="35" spans="1:18" ht="17.45" customHeight="1" x14ac:dyDescent="0.45">
      <c r="A35" s="378"/>
      <c r="B35" s="208"/>
      <c r="C35" s="370"/>
      <c r="D35" s="332"/>
      <c r="E35" s="333"/>
      <c r="I35" s="52"/>
      <c r="J35" s="52"/>
      <c r="K35" s="52"/>
      <c r="L35" s="94"/>
      <c r="P35" s="39"/>
    </row>
    <row r="36" spans="1:18" ht="17.45" customHeight="1" x14ac:dyDescent="0.45">
      <c r="A36" s="378"/>
      <c r="B36" s="208"/>
      <c r="C36" s="370"/>
      <c r="D36" s="332"/>
      <c r="E36" s="333"/>
      <c r="I36" s="52"/>
      <c r="J36" s="52"/>
      <c r="K36" s="52"/>
      <c r="L36" s="94"/>
      <c r="P36" s="39"/>
    </row>
    <row r="37" spans="1:18" ht="17.45" customHeight="1" x14ac:dyDescent="0.45">
      <c r="A37" s="378"/>
      <c r="B37" s="208"/>
      <c r="C37" s="371"/>
      <c r="D37" s="334"/>
      <c r="E37" s="335"/>
      <c r="P37" s="39"/>
    </row>
    <row r="38" spans="1:18" ht="51" customHeight="1" x14ac:dyDescent="0.45">
      <c r="A38" s="425" t="s">
        <v>319</v>
      </c>
      <c r="B38" s="426"/>
      <c r="C38" s="426"/>
      <c r="D38" s="426"/>
      <c r="E38" s="427"/>
      <c r="F38" s="181"/>
      <c r="P38" s="6"/>
    </row>
    <row r="39" spans="1:18" ht="60.75" customHeight="1" x14ac:dyDescent="0.45">
      <c r="A39" s="421" t="s">
        <v>320</v>
      </c>
      <c r="B39" s="422"/>
      <c r="C39" s="422"/>
      <c r="D39" s="422"/>
      <c r="E39" s="423"/>
      <c r="F39" s="181"/>
      <c r="G39"/>
      <c r="L39" s="52"/>
      <c r="P39" s="6"/>
    </row>
    <row r="40" spans="1:18" ht="36" customHeight="1" thickBot="1" x14ac:dyDescent="0.5">
      <c r="A40" s="418" t="s">
        <v>338</v>
      </c>
      <c r="B40" s="419"/>
      <c r="C40" s="419"/>
      <c r="D40" s="419"/>
      <c r="E40" s="420"/>
      <c r="F40" s="181"/>
      <c r="L40" s="52"/>
      <c r="P40" s="6"/>
    </row>
    <row r="41" spans="1:18" ht="8.25" customHeight="1" thickTop="1" x14ac:dyDescent="0.45">
      <c r="A41" s="39"/>
      <c r="B41" s="39"/>
      <c r="C41" s="39"/>
      <c r="D41" s="39"/>
      <c r="E41" s="41"/>
      <c r="L41" s="53"/>
      <c r="M41" s="67"/>
      <c r="N41" s="67"/>
      <c r="O41" s="67"/>
      <c r="P41" s="67"/>
      <c r="Q41" s="68"/>
      <c r="R41" s="35"/>
    </row>
    <row r="42" spans="1:18" ht="17.25" customHeight="1" thickBot="1" x14ac:dyDescent="0.5">
      <c r="A42" s="398" t="s">
        <v>334</v>
      </c>
      <c r="B42" s="399"/>
      <c r="C42" s="399"/>
      <c r="D42" s="399"/>
      <c r="E42" s="399"/>
      <c r="F42" s="399"/>
      <c r="G42" s="399"/>
      <c r="H42" s="399"/>
      <c r="I42" s="399"/>
      <c r="J42" s="399"/>
      <c r="K42" s="399"/>
      <c r="L42" s="53"/>
      <c r="M42" s="67"/>
      <c r="N42" s="67"/>
      <c r="O42" s="67"/>
      <c r="P42" s="67"/>
      <c r="Q42" s="68"/>
      <c r="R42" s="35"/>
    </row>
    <row r="43" spans="1:18" ht="29.25" thickTop="1" thickBot="1" x14ac:dyDescent="0.5">
      <c r="A43" s="285" t="s">
        <v>84</v>
      </c>
      <c r="B43" s="286" t="s">
        <v>306</v>
      </c>
      <c r="C43" s="214" t="s">
        <v>85</v>
      </c>
      <c r="D43" s="415" t="s">
        <v>115</v>
      </c>
      <c r="E43" s="416"/>
      <c r="F43" s="416"/>
      <c r="G43" s="416"/>
      <c r="H43" s="416"/>
      <c r="I43" s="416"/>
      <c r="J43" s="416"/>
      <c r="K43" s="417"/>
      <c r="L43" s="71"/>
      <c r="M43" s="35"/>
    </row>
    <row r="44" spans="1:18" ht="21.75" customHeight="1" thickTop="1" x14ac:dyDescent="0.45">
      <c r="A44" s="215" t="s">
        <v>83</v>
      </c>
      <c r="B44" s="212">
        <v>1</v>
      </c>
      <c r="C44" s="213">
        <v>0</v>
      </c>
      <c r="D44" s="409" t="s">
        <v>339</v>
      </c>
      <c r="E44" s="409"/>
      <c r="F44" s="409"/>
      <c r="G44" s="409"/>
      <c r="H44" s="409"/>
      <c r="I44" s="409"/>
      <c r="J44" s="409"/>
      <c r="K44" s="409"/>
      <c r="L44" s="49"/>
      <c r="M44" s="35"/>
    </row>
    <row r="45" spans="1:18" ht="33.75" customHeight="1" x14ac:dyDescent="0.45">
      <c r="A45" s="216" t="s">
        <v>86</v>
      </c>
      <c r="B45" s="159">
        <v>0.9</v>
      </c>
      <c r="C45" s="182">
        <v>0.1</v>
      </c>
      <c r="D45" s="397" t="s">
        <v>340</v>
      </c>
      <c r="E45" s="397"/>
      <c r="F45" s="397"/>
      <c r="G45" s="397"/>
      <c r="H45" s="397"/>
      <c r="I45" s="397"/>
      <c r="J45" s="397"/>
      <c r="K45" s="397"/>
      <c r="L45" s="49"/>
      <c r="M45" s="35"/>
    </row>
    <row r="46" spans="1:18" ht="64.900000000000006" customHeight="1" x14ac:dyDescent="0.45">
      <c r="A46" s="216" t="s">
        <v>87</v>
      </c>
      <c r="B46" s="159">
        <v>0.8</v>
      </c>
      <c r="C46" s="182">
        <v>0.2</v>
      </c>
      <c r="D46" s="397" t="s">
        <v>341</v>
      </c>
      <c r="E46" s="397"/>
      <c r="F46" s="397"/>
      <c r="G46" s="397"/>
      <c r="H46" s="397"/>
      <c r="I46" s="397"/>
      <c r="J46" s="397"/>
      <c r="K46" s="397"/>
      <c r="L46" s="49"/>
      <c r="M46" s="35"/>
    </row>
    <row r="47" spans="1:18" ht="66.400000000000006" customHeight="1" x14ac:dyDescent="0.45">
      <c r="A47" s="216" t="s">
        <v>88</v>
      </c>
      <c r="B47" s="159">
        <v>0.5</v>
      </c>
      <c r="C47" s="182">
        <v>0.5</v>
      </c>
      <c r="D47" s="410" t="s">
        <v>342</v>
      </c>
      <c r="E47" s="410"/>
      <c r="F47" s="410"/>
      <c r="G47" s="410"/>
      <c r="H47" s="410"/>
      <c r="I47" s="410"/>
      <c r="J47" s="410"/>
      <c r="K47" s="410"/>
      <c r="L47" s="49"/>
      <c r="M47" s="35"/>
    </row>
    <row r="48" spans="1:18" ht="32.25" customHeight="1" x14ac:dyDescent="0.45">
      <c r="A48" s="216" t="s">
        <v>89</v>
      </c>
      <c r="B48" s="159">
        <v>0.3</v>
      </c>
      <c r="C48" s="182">
        <v>0.7</v>
      </c>
      <c r="D48" s="397" t="s">
        <v>343</v>
      </c>
      <c r="E48" s="397"/>
      <c r="F48" s="397"/>
      <c r="G48" s="397"/>
      <c r="H48" s="397"/>
      <c r="I48" s="397"/>
      <c r="J48" s="397"/>
      <c r="K48" s="397"/>
      <c r="L48" s="49"/>
      <c r="M48" s="35"/>
    </row>
    <row r="49" spans="1:18" ht="18.75" customHeight="1" x14ac:dyDescent="0.45">
      <c r="A49" s="216" t="s">
        <v>90</v>
      </c>
      <c r="B49" s="159">
        <v>0.2</v>
      </c>
      <c r="C49" s="182">
        <v>0.8</v>
      </c>
      <c r="D49" s="397" t="s">
        <v>289</v>
      </c>
      <c r="E49" s="397"/>
      <c r="F49" s="397"/>
      <c r="G49" s="397"/>
      <c r="H49" s="397"/>
      <c r="I49" s="397"/>
      <c r="J49" s="397"/>
      <c r="K49" s="397"/>
      <c r="L49" s="49"/>
      <c r="M49" s="35"/>
    </row>
    <row r="50" spans="1:18" ht="18.75" customHeight="1" thickBot="1" x14ac:dyDescent="0.5">
      <c r="A50" s="217" t="s">
        <v>175</v>
      </c>
      <c r="B50" s="218">
        <v>0</v>
      </c>
      <c r="C50" s="219">
        <v>1</v>
      </c>
      <c r="D50" s="397" t="s">
        <v>288</v>
      </c>
      <c r="E50" s="397"/>
      <c r="F50" s="397"/>
      <c r="G50" s="397"/>
      <c r="H50" s="397"/>
      <c r="I50" s="397"/>
      <c r="J50" s="397"/>
      <c r="K50" s="397"/>
      <c r="M50" s="69"/>
      <c r="N50" s="69"/>
      <c r="O50" s="69"/>
      <c r="P50" s="69"/>
      <c r="Q50" s="68"/>
      <c r="R50" s="35"/>
    </row>
    <row r="51" spans="1:18" ht="14.65" thickTop="1" x14ac:dyDescent="0.45">
      <c r="A51" s="40"/>
      <c r="B51" s="40"/>
      <c r="C51" s="40"/>
      <c r="M51" s="69"/>
      <c r="N51" s="69"/>
      <c r="O51" s="69"/>
      <c r="P51" s="69"/>
      <c r="Q51" s="68"/>
      <c r="R51" s="35"/>
    </row>
    <row r="52" spans="1:18" x14ac:dyDescent="0.45">
      <c r="A52" s="40"/>
      <c r="B52" s="40"/>
      <c r="C52" s="40"/>
      <c r="M52" s="69"/>
      <c r="N52" s="69"/>
      <c r="O52" s="69"/>
      <c r="P52" s="69"/>
      <c r="Q52" s="68"/>
      <c r="R52" s="35"/>
    </row>
    <row r="53" spans="1:18" x14ac:dyDescent="0.45">
      <c r="A53" s="40"/>
      <c r="B53" s="40"/>
      <c r="C53" s="40"/>
      <c r="M53" s="69"/>
      <c r="N53" s="69"/>
      <c r="O53" s="69"/>
      <c r="P53" s="69"/>
      <c r="Q53" s="68"/>
      <c r="R53" s="35"/>
    </row>
    <row r="54" spans="1:18" ht="99.75" customHeight="1" x14ac:dyDescent="0.45">
      <c r="A54" s="40"/>
      <c r="B54" s="40"/>
      <c r="C54" s="40"/>
      <c r="M54" s="69"/>
      <c r="N54" s="69"/>
      <c r="O54" s="69"/>
      <c r="P54" s="69"/>
      <c r="Q54" s="68"/>
      <c r="R54" s="35"/>
    </row>
    <row r="55" spans="1:18" ht="30.75" customHeight="1" x14ac:dyDescent="0.45">
      <c r="A55" s="40"/>
      <c r="B55" s="40"/>
      <c r="C55" s="40"/>
      <c r="M55" s="69"/>
      <c r="N55" s="69"/>
      <c r="O55" s="69"/>
      <c r="P55" s="69"/>
      <c r="Q55" s="67"/>
    </row>
    <row r="56" spans="1:18" x14ac:dyDescent="0.45">
      <c r="A56" s="40"/>
      <c r="B56" s="40"/>
      <c r="C56" s="40"/>
      <c r="M56" s="69"/>
      <c r="N56" s="69"/>
      <c r="O56" s="69"/>
      <c r="P56" s="69"/>
      <c r="Q56" s="67"/>
    </row>
    <row r="57" spans="1:18" x14ac:dyDescent="0.45">
      <c r="M57" s="68"/>
      <c r="N57" s="68"/>
      <c r="O57" s="68"/>
      <c r="P57" s="68"/>
      <c r="Q57" s="67"/>
    </row>
    <row r="58" spans="1:18" x14ac:dyDescent="0.45">
      <c r="M58" s="68"/>
      <c r="N58" s="68"/>
      <c r="O58" s="68"/>
      <c r="P58" s="68"/>
      <c r="Q58" s="67"/>
    </row>
    <row r="59" spans="1:18" x14ac:dyDescent="0.45">
      <c r="M59" s="67"/>
      <c r="N59" s="67"/>
      <c r="O59" s="67"/>
      <c r="P59" s="67"/>
      <c r="Q59" s="67"/>
    </row>
    <row r="60" spans="1:18" x14ac:dyDescent="0.45">
      <c r="M60" s="67"/>
      <c r="N60" s="67"/>
      <c r="O60" s="67"/>
      <c r="P60" s="67"/>
      <c r="Q60" s="67"/>
    </row>
  </sheetData>
  <sheetProtection algorithmName="SHA-512" hashValue="LOSErctaOq7UHfFsyNvf+s4HEFTdHVUntgj9StDEnGkAvpiQpiS+8vnNott2Xq7lI/PqeU9UlOEDtYaMJOU9sA==" saltValue="0P0LUeXWW5m2kFQbLmMp/A==" spinCount="100000" sheet="1" objects="1" scenarios="1" formatColumns="0" formatRows="0"/>
  <mergeCells count="59">
    <mergeCell ref="F28:G29"/>
    <mergeCell ref="F26:G27"/>
    <mergeCell ref="D43:K43"/>
    <mergeCell ref="I31:J31"/>
    <mergeCell ref="I27:J27"/>
    <mergeCell ref="A40:E40"/>
    <mergeCell ref="A39:E39"/>
    <mergeCell ref="A30:A33"/>
    <mergeCell ref="A26:A29"/>
    <mergeCell ref="C26:C29"/>
    <mergeCell ref="C30:C33"/>
    <mergeCell ref="A38:E38"/>
    <mergeCell ref="A34:A37"/>
    <mergeCell ref="C34:C37"/>
    <mergeCell ref="D34:E37"/>
    <mergeCell ref="D30:E33"/>
    <mergeCell ref="D44:K44"/>
    <mergeCell ref="D45:K45"/>
    <mergeCell ref="D46:K46"/>
    <mergeCell ref="D47:K47"/>
    <mergeCell ref="D48:K48"/>
    <mergeCell ref="D49:K49"/>
    <mergeCell ref="D50:K50"/>
    <mergeCell ref="A42:K42"/>
    <mergeCell ref="F21:H21"/>
    <mergeCell ref="I21:K21"/>
    <mergeCell ref="I22:J22"/>
    <mergeCell ref="I25:J25"/>
    <mergeCell ref="D22:E22"/>
    <mergeCell ref="I33:K33"/>
    <mergeCell ref="I32:J32"/>
    <mergeCell ref="H26:H27"/>
    <mergeCell ref="H28:H29"/>
    <mergeCell ref="I28:J28"/>
    <mergeCell ref="I29:J29"/>
    <mergeCell ref="I26:J26"/>
    <mergeCell ref="I30:J30"/>
    <mergeCell ref="F23:G25"/>
    <mergeCell ref="G3:K3"/>
    <mergeCell ref="G4:K4"/>
    <mergeCell ref="F22:G22"/>
    <mergeCell ref="I23:J23"/>
    <mergeCell ref="I24:J24"/>
    <mergeCell ref="D26:E29"/>
    <mergeCell ref="G1:K1"/>
    <mergeCell ref="H23:H25"/>
    <mergeCell ref="G2:K2"/>
    <mergeCell ref="J19:K19"/>
    <mergeCell ref="A7:K7"/>
    <mergeCell ref="A1:A2"/>
    <mergeCell ref="C4:E5"/>
    <mergeCell ref="A4:A5"/>
    <mergeCell ref="A19:I19"/>
    <mergeCell ref="C3:E3"/>
    <mergeCell ref="C1:E2"/>
    <mergeCell ref="C23:C25"/>
    <mergeCell ref="A21:E21"/>
    <mergeCell ref="D23:E25"/>
    <mergeCell ref="A23:A25"/>
  </mergeCells>
  <conditionalFormatting sqref="G9:G18">
    <cfRule type="cellIs" dxfId="901" priority="13" operator="equal">
      <formula>0.3</formula>
    </cfRule>
  </conditionalFormatting>
  <conditionalFormatting sqref="F9">
    <cfRule type="expression" dxfId="900" priority="10">
      <formula>$F$9&gt;$E$9</formula>
    </cfRule>
  </conditionalFormatting>
  <conditionalFormatting sqref="F10">
    <cfRule type="expression" dxfId="899" priority="9">
      <formula>$F$10&gt;$E$10</formula>
    </cfRule>
  </conditionalFormatting>
  <conditionalFormatting sqref="F11">
    <cfRule type="expression" dxfId="898" priority="8">
      <formula>$F$11&gt;$E$11</formula>
    </cfRule>
  </conditionalFormatting>
  <conditionalFormatting sqref="F12">
    <cfRule type="expression" dxfId="897" priority="7">
      <formula>$F$12&gt;$E$12</formula>
    </cfRule>
  </conditionalFormatting>
  <conditionalFormatting sqref="F13">
    <cfRule type="expression" dxfId="896" priority="6">
      <formula>$F$13&gt;$E$13</formula>
    </cfRule>
  </conditionalFormatting>
  <conditionalFormatting sqref="F14">
    <cfRule type="expression" dxfId="895" priority="5">
      <formula>$F$14&gt;$E$14</formula>
    </cfRule>
  </conditionalFormatting>
  <conditionalFormatting sqref="F15">
    <cfRule type="expression" dxfId="894" priority="4">
      <formula>$F$15&gt;$E$15</formula>
    </cfRule>
  </conditionalFormatting>
  <conditionalFormatting sqref="F16">
    <cfRule type="expression" dxfId="893" priority="3">
      <formula>$F$16&gt;$E$16</formula>
    </cfRule>
  </conditionalFormatting>
  <conditionalFormatting sqref="F17">
    <cfRule type="expression" dxfId="892" priority="2">
      <formula>$F$17&gt;$E$17</formula>
    </cfRule>
  </conditionalFormatting>
  <conditionalFormatting sqref="F18">
    <cfRule type="expression" dxfId="891" priority="1">
      <formula>$F$18&gt;$E$18</formula>
    </cfRule>
  </conditionalFormatting>
  <dataValidations xWindow="456" yWindow="444" count="2">
    <dataValidation allowBlank="1" showInputMessage="1" showErrorMessage="1" prompt="If the existing condition is less than 0.30, a minimum existing condition score of 0.30 will be automatically assigned. " sqref="G9:G18" xr:uid="{B422DF25-6BC0-4677-96F0-10B6E04BAD1B}"/>
    <dataValidation allowBlank="1" showInputMessage="1" showErrorMessage="1" prompt="Proposed stream length should be equal to or less than existing stream length. If not, the cell highlights red." sqref="F9:F18" xr:uid="{154E056B-7B88-4F12-BE87-7DF74D210403}"/>
  </dataValidations>
  <pageMargins left="0.25" right="0.25" top="0.75" bottom="0.75" header="0.3" footer="0.3"/>
  <pageSetup orientation="landscape" horizontalDpi="4294967292" verticalDpi="1200" r:id="rId1"/>
  <headerFooter>
    <oddHeader>&amp;C&amp;"-,Bold"&amp;14SC SQT DEBIT CALCULATOR v1.1</oddHeader>
    <oddFooter>&amp;LSC SQT Debit Calculator v1.1
Functional Loss</oddFooter>
  </headerFooter>
  <rowBreaks count="2" manualBreakCount="2">
    <brk id="20" max="10" man="1"/>
    <brk id="40" max="10" man="1"/>
  </rowBreaks>
  <extLst>
    <ext xmlns:x14="http://schemas.microsoft.com/office/spreadsheetml/2009/9/main" uri="{CCE6A557-97BC-4b89-ADB6-D9C93CAAB3DF}">
      <x14:dataValidations xmlns:xm="http://schemas.microsoft.com/office/excel/2006/main" xWindow="456" yWindow="444" count="2">
        <x14:dataValidation type="list" allowBlank="1" showInputMessage="1" showErrorMessage="1" xr:uid="{129E9BF0-1D54-42E0-930D-5580916F0F93}">
          <x14:formula1>
            <xm:f>'Pull Down Notes'!$F$23:$F$30</xm:f>
          </x14:formula1>
          <xm:sqref>H9:H18</xm:sqref>
        </x14:dataValidation>
        <x14:dataValidation type="list" showErrorMessage="1" xr:uid="{C0C5BB8B-FCB1-4369-9674-029F2BEC1BF2}">
          <x14:formula1>
            <xm:f>'Pull Down Notes'!$F$18:$F$22</xm:f>
          </x14:formula1>
          <xm:sqref>D9:D18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5F167D-CF31-4938-8A5B-11529F217D82}">
  <dimension ref="A1:G35"/>
  <sheetViews>
    <sheetView zoomScaleNormal="100" zoomScaleSheetLayoutView="100" workbookViewId="0">
      <selection activeCell="E6" sqref="E6"/>
    </sheetView>
  </sheetViews>
  <sheetFormatPr defaultColWidth="9.1328125" defaultRowHeight="14.25" x14ac:dyDescent="0.45"/>
  <cols>
    <col min="1" max="1" width="12.3984375" style="48" customWidth="1"/>
    <col min="2" max="2" width="13.86328125" style="48" customWidth="1"/>
    <col min="3" max="3" width="34.265625" style="48" customWidth="1"/>
    <col min="4" max="4" width="20.1328125" style="27" customWidth="1"/>
    <col min="5" max="5" width="42.265625" style="27" customWidth="1"/>
    <col min="6" max="16384" width="9.1328125" style="48"/>
  </cols>
  <sheetData>
    <row r="1" spans="1:5" ht="15.75" x14ac:dyDescent="0.45">
      <c r="A1" s="227" t="s">
        <v>178</v>
      </c>
      <c r="B1" s="228"/>
      <c r="C1" s="228"/>
      <c r="D1" s="279"/>
      <c r="E1" s="278"/>
    </row>
    <row r="2" spans="1:5" ht="25.15" customHeight="1" x14ac:dyDescent="0.45">
      <c r="A2" s="437" t="s">
        <v>345</v>
      </c>
      <c r="B2" s="438"/>
      <c r="C2" s="438"/>
      <c r="D2" s="438"/>
      <c r="E2" s="439"/>
    </row>
    <row r="3" spans="1:5" ht="35.450000000000003" customHeight="1" x14ac:dyDescent="0.45">
      <c r="A3" s="437"/>
      <c r="B3" s="438"/>
      <c r="C3" s="438"/>
      <c r="D3" s="438"/>
      <c r="E3" s="439"/>
    </row>
    <row r="4" spans="1:5" ht="3" customHeight="1" x14ac:dyDescent="0.45">
      <c r="A4" s="229"/>
      <c r="B4" s="230"/>
      <c r="C4" s="230"/>
      <c r="D4" s="230"/>
      <c r="E4" s="231"/>
    </row>
    <row r="5" spans="1:5" ht="3" customHeight="1" x14ac:dyDescent="0.45">
      <c r="A5" s="229"/>
      <c r="B5" s="230"/>
      <c r="C5" s="230"/>
      <c r="D5" s="230"/>
      <c r="E5" s="231"/>
    </row>
    <row r="6" spans="1:5" ht="47.25" customHeight="1" x14ac:dyDescent="0.45">
      <c r="A6" s="232" t="s">
        <v>1</v>
      </c>
      <c r="B6" s="232" t="s">
        <v>403</v>
      </c>
      <c r="C6" s="232" t="s">
        <v>325</v>
      </c>
      <c r="D6" s="232" t="s">
        <v>179</v>
      </c>
      <c r="E6" s="232" t="s">
        <v>180</v>
      </c>
    </row>
    <row r="7" spans="1:5" ht="32.450000000000003" customHeight="1" x14ac:dyDescent="0.45">
      <c r="A7" s="440" t="s">
        <v>42</v>
      </c>
      <c r="B7" s="442" t="s">
        <v>65</v>
      </c>
      <c r="C7" s="447" t="s">
        <v>321</v>
      </c>
      <c r="D7" s="233" t="s">
        <v>181</v>
      </c>
      <c r="E7" s="442" t="s">
        <v>326</v>
      </c>
    </row>
    <row r="8" spans="1:5" ht="32.450000000000003" customHeight="1" x14ac:dyDescent="0.45">
      <c r="A8" s="441"/>
      <c r="B8" s="443"/>
      <c r="C8" s="447"/>
      <c r="D8" s="233" t="s">
        <v>158</v>
      </c>
      <c r="E8" s="443"/>
    </row>
    <row r="9" spans="1:5" ht="31.5" x14ac:dyDescent="0.45">
      <c r="A9" s="444" t="s">
        <v>2</v>
      </c>
      <c r="B9" s="445" t="s">
        <v>3</v>
      </c>
      <c r="C9" s="448" t="s">
        <v>322</v>
      </c>
      <c r="D9" s="234" t="s">
        <v>182</v>
      </c>
      <c r="E9" s="445" t="s">
        <v>400</v>
      </c>
    </row>
    <row r="10" spans="1:5" ht="31.5" x14ac:dyDescent="0.45">
      <c r="A10" s="444"/>
      <c r="B10" s="446"/>
      <c r="C10" s="448"/>
      <c r="D10" s="234" t="s">
        <v>183</v>
      </c>
      <c r="E10" s="446"/>
    </row>
    <row r="11" spans="1:5" ht="38.65" customHeight="1" x14ac:dyDescent="0.45">
      <c r="A11" s="444"/>
      <c r="B11" s="235" t="s">
        <v>184</v>
      </c>
      <c r="C11" s="234" t="s">
        <v>322</v>
      </c>
      <c r="D11" s="235" t="s">
        <v>185</v>
      </c>
      <c r="E11" s="235" t="s">
        <v>401</v>
      </c>
    </row>
    <row r="12" spans="1:5" ht="21" customHeight="1" x14ac:dyDescent="0.45">
      <c r="A12" s="432" t="s">
        <v>14</v>
      </c>
      <c r="B12" s="429" t="s">
        <v>15</v>
      </c>
      <c r="C12" s="429" t="s">
        <v>322</v>
      </c>
      <c r="D12" s="236" t="s">
        <v>13</v>
      </c>
      <c r="E12" s="429" t="s">
        <v>347</v>
      </c>
    </row>
    <row r="13" spans="1:5" ht="35.25" customHeight="1" x14ac:dyDescent="0.45">
      <c r="A13" s="433"/>
      <c r="B13" s="431"/>
      <c r="C13" s="431"/>
      <c r="D13" s="236" t="s">
        <v>186</v>
      </c>
      <c r="E13" s="431"/>
    </row>
    <row r="14" spans="1:5" ht="25.5" customHeight="1" x14ac:dyDescent="0.45">
      <c r="A14" s="433"/>
      <c r="B14" s="429" t="s">
        <v>92</v>
      </c>
      <c r="C14" s="429" t="s">
        <v>389</v>
      </c>
      <c r="D14" s="236" t="s">
        <v>187</v>
      </c>
      <c r="E14" s="429" t="s">
        <v>387</v>
      </c>
    </row>
    <row r="15" spans="1:5" ht="36" customHeight="1" x14ac:dyDescent="0.45">
      <c r="A15" s="433"/>
      <c r="B15" s="430"/>
      <c r="C15" s="430"/>
      <c r="D15" s="236" t="s">
        <v>36</v>
      </c>
      <c r="E15" s="430"/>
    </row>
    <row r="16" spans="1:5" ht="49.5" customHeight="1" x14ac:dyDescent="0.45">
      <c r="A16" s="433"/>
      <c r="B16" s="430"/>
      <c r="C16" s="430"/>
      <c r="D16" s="236" t="s">
        <v>48</v>
      </c>
      <c r="E16" s="430"/>
    </row>
    <row r="17" spans="1:7" ht="49.5" customHeight="1" x14ac:dyDescent="0.45">
      <c r="A17" s="434"/>
      <c r="B17" s="431"/>
      <c r="C17" s="431"/>
      <c r="D17" s="236" t="s">
        <v>124</v>
      </c>
      <c r="E17" s="431"/>
    </row>
    <row r="18" spans="1:7" ht="15.75" x14ac:dyDescent="0.45">
      <c r="A18" s="432" t="s">
        <v>14</v>
      </c>
      <c r="B18" s="429" t="s">
        <v>37</v>
      </c>
      <c r="C18" s="429" t="s">
        <v>323</v>
      </c>
      <c r="D18" s="236" t="s">
        <v>144</v>
      </c>
      <c r="E18" s="429" t="s">
        <v>327</v>
      </c>
    </row>
    <row r="19" spans="1:7" ht="15.75" x14ac:dyDescent="0.45">
      <c r="A19" s="433"/>
      <c r="B19" s="430"/>
      <c r="C19" s="430"/>
      <c r="D19" s="236" t="s">
        <v>159</v>
      </c>
      <c r="E19" s="430"/>
    </row>
    <row r="20" spans="1:7" ht="30" customHeight="1" x14ac:dyDescent="0.45">
      <c r="A20" s="433"/>
      <c r="B20" s="430"/>
      <c r="C20" s="430"/>
      <c r="D20" s="236" t="s">
        <v>188</v>
      </c>
      <c r="E20" s="431"/>
    </row>
    <row r="21" spans="1:7" ht="36.75" customHeight="1" x14ac:dyDescent="0.45">
      <c r="A21" s="433"/>
      <c r="B21" s="430"/>
      <c r="C21" s="430"/>
      <c r="D21" s="236" t="s">
        <v>189</v>
      </c>
      <c r="E21" s="237" t="s">
        <v>313</v>
      </c>
    </row>
    <row r="22" spans="1:7" ht="50.25" customHeight="1" x14ac:dyDescent="0.45">
      <c r="A22" s="433"/>
      <c r="B22" s="430"/>
      <c r="C22" s="430"/>
      <c r="D22" s="236" t="s">
        <v>145</v>
      </c>
      <c r="E22" s="237" t="s">
        <v>328</v>
      </c>
      <c r="G22" s="80"/>
    </row>
    <row r="23" spans="1:7" ht="50.25" customHeight="1" x14ac:dyDescent="0.45">
      <c r="A23" s="433"/>
      <c r="B23" s="430"/>
      <c r="C23" s="430"/>
      <c r="D23" s="236" t="s">
        <v>190</v>
      </c>
      <c r="E23" s="276" t="s">
        <v>351</v>
      </c>
    </row>
    <row r="24" spans="1:7" ht="31.5" x14ac:dyDescent="0.45">
      <c r="A24" s="433"/>
      <c r="B24" s="431"/>
      <c r="C24" s="431"/>
      <c r="D24" s="236" t="s">
        <v>191</v>
      </c>
      <c r="E24" s="238" t="s">
        <v>393</v>
      </c>
    </row>
    <row r="25" spans="1:7" ht="35.450000000000003" customHeight="1" x14ac:dyDescent="0.45">
      <c r="A25" s="433"/>
      <c r="B25" s="429" t="s">
        <v>38</v>
      </c>
      <c r="C25" s="429" t="s">
        <v>394</v>
      </c>
      <c r="D25" s="236" t="s">
        <v>192</v>
      </c>
      <c r="E25" s="429" t="s">
        <v>402</v>
      </c>
    </row>
    <row r="26" spans="1:7" ht="35.450000000000003" customHeight="1" x14ac:dyDescent="0.45">
      <c r="A26" s="433"/>
      <c r="B26" s="430"/>
      <c r="C26" s="430"/>
      <c r="D26" s="236" t="s">
        <v>193</v>
      </c>
      <c r="E26" s="430"/>
    </row>
    <row r="27" spans="1:7" ht="35.450000000000003" customHeight="1" x14ac:dyDescent="0.45">
      <c r="A27" s="434"/>
      <c r="B27" s="431"/>
      <c r="C27" s="431"/>
      <c r="D27" s="236" t="s">
        <v>194</v>
      </c>
      <c r="E27" s="431"/>
    </row>
    <row r="28" spans="1:7" ht="63" x14ac:dyDescent="0.45">
      <c r="A28" s="449" t="s">
        <v>40</v>
      </c>
      <c r="B28" s="239" t="s">
        <v>103</v>
      </c>
      <c r="C28" s="435" t="s">
        <v>382</v>
      </c>
      <c r="D28" s="239" t="s">
        <v>195</v>
      </c>
      <c r="E28" s="239" t="s">
        <v>399</v>
      </c>
    </row>
    <row r="29" spans="1:7" ht="15.75" x14ac:dyDescent="0.45">
      <c r="A29" s="449"/>
      <c r="B29" s="239" t="s">
        <v>127</v>
      </c>
      <c r="C29" s="450"/>
      <c r="D29" s="239" t="s">
        <v>370</v>
      </c>
      <c r="E29" s="451" t="s">
        <v>383</v>
      </c>
    </row>
    <row r="30" spans="1:7" ht="31.9" customHeight="1" x14ac:dyDescent="0.45">
      <c r="A30" s="449"/>
      <c r="B30" s="239" t="s">
        <v>196</v>
      </c>
      <c r="C30" s="450"/>
      <c r="D30" s="239" t="s">
        <v>197</v>
      </c>
      <c r="E30" s="451"/>
    </row>
    <row r="31" spans="1:7" ht="31.5" x14ac:dyDescent="0.45">
      <c r="A31" s="449"/>
      <c r="B31" s="239" t="s">
        <v>198</v>
      </c>
      <c r="C31" s="450"/>
      <c r="D31" s="239" t="s">
        <v>199</v>
      </c>
      <c r="E31" s="451"/>
    </row>
    <row r="32" spans="1:7" ht="31.5" x14ac:dyDescent="0.45">
      <c r="A32" s="449"/>
      <c r="B32" s="435" t="s">
        <v>380</v>
      </c>
      <c r="C32" s="450"/>
      <c r="D32" s="280" t="s">
        <v>381</v>
      </c>
      <c r="E32" s="451" t="s">
        <v>384</v>
      </c>
    </row>
    <row r="33" spans="1:5" ht="15.75" x14ac:dyDescent="0.45">
      <c r="A33" s="449"/>
      <c r="B33" s="436"/>
      <c r="C33" s="436"/>
      <c r="D33" s="281" t="s">
        <v>373</v>
      </c>
      <c r="E33" s="451"/>
    </row>
    <row r="34" spans="1:5" ht="51.75" customHeight="1" x14ac:dyDescent="0.45">
      <c r="A34" s="428" t="s">
        <v>41</v>
      </c>
      <c r="B34" s="240" t="s">
        <v>388</v>
      </c>
      <c r="C34" s="240" t="s">
        <v>324</v>
      </c>
      <c r="D34" s="240" t="s">
        <v>200</v>
      </c>
      <c r="E34" s="240" t="s">
        <v>385</v>
      </c>
    </row>
    <row r="35" spans="1:5" ht="51.75" customHeight="1" x14ac:dyDescent="0.45">
      <c r="A35" s="428"/>
      <c r="B35" s="240" t="s">
        <v>45</v>
      </c>
      <c r="C35" s="240" t="s">
        <v>324</v>
      </c>
      <c r="D35" s="240" t="s">
        <v>374</v>
      </c>
      <c r="E35" s="240" t="s">
        <v>386</v>
      </c>
    </row>
  </sheetData>
  <sheetProtection algorithmName="SHA-512" hashValue="RyAFXv5RgzH2XPc7NNLYBFKgfBQXmD8MLUA1J88S5ayM4fi1DFoMyTSBpPyeU7CXOVMy1sL/mq7HXmDwzsSkBg==" saltValue="HbndeevSOAUasbkAnhJjWw==" spinCount="100000" sheet="1" formatColumns="0" formatRows="0"/>
  <mergeCells count="29">
    <mergeCell ref="E25:E27"/>
    <mergeCell ref="A28:A33"/>
    <mergeCell ref="B12:B13"/>
    <mergeCell ref="E12:E13"/>
    <mergeCell ref="B14:B17"/>
    <mergeCell ref="E14:E17"/>
    <mergeCell ref="B18:B24"/>
    <mergeCell ref="C28:C33"/>
    <mergeCell ref="E29:E31"/>
    <mergeCell ref="E32:E33"/>
    <mergeCell ref="A2:E3"/>
    <mergeCell ref="E18:E20"/>
    <mergeCell ref="A7:A8"/>
    <mergeCell ref="B7:B8"/>
    <mergeCell ref="E7:E8"/>
    <mergeCell ref="A9:A11"/>
    <mergeCell ref="B9:B10"/>
    <mergeCell ref="E9:E10"/>
    <mergeCell ref="C7:C8"/>
    <mergeCell ref="C14:C17"/>
    <mergeCell ref="C9:C10"/>
    <mergeCell ref="A34:A35"/>
    <mergeCell ref="C25:C27"/>
    <mergeCell ref="C12:C13"/>
    <mergeCell ref="B25:B27"/>
    <mergeCell ref="C18:C24"/>
    <mergeCell ref="A12:A17"/>
    <mergeCell ref="A18:A27"/>
    <mergeCell ref="B32:B33"/>
  </mergeCells>
  <pageMargins left="0.7" right="0.7" top="0.75" bottom="0.75" header="0.3" footer="0.3"/>
  <pageSetup orientation="landscape" r:id="rId1"/>
  <headerFooter>
    <oddHeader>&amp;C&amp;"-,Bold"&amp;14SC SQT DEBIT CALCULATOR v1.1</oddHeader>
    <oddFooter>&amp;LSC SQT Debit Calculator v1.1
Parameter and Metric Selection</oddFooter>
  </headerFooter>
  <rowBreaks count="1" manualBreakCount="1">
    <brk id="11"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N379"/>
  <sheetViews>
    <sheetView zoomScaleNormal="100" zoomScaleSheetLayoutView="100" workbookViewId="0">
      <selection activeCell="M8" sqref="M8"/>
    </sheetView>
  </sheetViews>
  <sheetFormatPr defaultRowHeight="14.25" x14ac:dyDescent="0.45"/>
  <cols>
    <col min="1" max="1" width="23.3984375" customWidth="1"/>
    <col min="2" max="2" width="26.3984375" customWidth="1"/>
    <col min="3" max="3" width="22.73046875" customWidth="1"/>
    <col min="4" max="4" width="20.73046875" style="2" customWidth="1"/>
    <col min="5" max="6" width="15.265625" customWidth="1"/>
    <col min="7" max="7" width="15.265625" style="2" customWidth="1"/>
    <col min="8" max="8" width="15.265625" customWidth="1"/>
    <col min="9" max="9" width="15.265625" style="27" customWidth="1"/>
    <col min="10" max="10" width="15.265625" customWidth="1"/>
    <col min="11" max="11" width="18.59765625" customWidth="1"/>
    <col min="12" max="12" width="13.73046875" customWidth="1"/>
  </cols>
  <sheetData>
    <row r="1" spans="1:14" ht="20.65" customHeight="1" x14ac:dyDescent="0.65">
      <c r="A1" s="500" t="s">
        <v>395</v>
      </c>
      <c r="B1" s="501"/>
      <c r="C1" s="501"/>
      <c r="D1" s="501"/>
      <c r="E1" s="501"/>
      <c r="F1" s="501"/>
      <c r="G1" s="501"/>
      <c r="H1" s="501"/>
      <c r="I1" s="501"/>
      <c r="J1" s="502"/>
    </row>
    <row r="2" spans="1:14" s="2" customFormat="1" ht="31.5" customHeight="1" x14ac:dyDescent="0.45">
      <c r="A2" s="121" t="s">
        <v>59</v>
      </c>
      <c r="B2" s="122">
        <f>'Project Summary'!$A10</f>
        <v>0</v>
      </c>
      <c r="C2" s="282" t="s">
        <v>146</v>
      </c>
      <c r="D2" s="283"/>
      <c r="E2" s="59" t="s">
        <v>236</v>
      </c>
      <c r="F2" s="121"/>
      <c r="G2" s="467"/>
      <c r="H2" s="468"/>
      <c r="I2" s="127" t="s">
        <v>95</v>
      </c>
      <c r="J2" s="123"/>
    </row>
    <row r="3" spans="1:14" s="2" customFormat="1" ht="31.5" customHeight="1" x14ac:dyDescent="0.45">
      <c r="A3" s="121" t="s">
        <v>201</v>
      </c>
      <c r="B3" s="122">
        <f>'Project Summary'!D10</f>
        <v>0</v>
      </c>
      <c r="C3" s="282" t="s">
        <v>60</v>
      </c>
      <c r="D3" s="197"/>
      <c r="E3" s="59" t="s">
        <v>237</v>
      </c>
      <c r="F3" s="124"/>
      <c r="G3" s="467"/>
      <c r="H3" s="468"/>
      <c r="I3" s="127" t="s">
        <v>96</v>
      </c>
      <c r="J3" s="123"/>
    </row>
    <row r="4" spans="1:14" s="2" customFormat="1" ht="31.5" customHeight="1" x14ac:dyDescent="0.65">
      <c r="A4" s="121" t="s">
        <v>316</v>
      </c>
      <c r="B4" s="122">
        <f>'Functional Loss'!D9</f>
        <v>0</v>
      </c>
      <c r="C4" s="282" t="s">
        <v>94</v>
      </c>
      <c r="D4" s="197"/>
      <c r="E4" s="503" t="s">
        <v>346</v>
      </c>
      <c r="F4" s="504"/>
      <c r="G4" s="467"/>
      <c r="H4" s="468"/>
      <c r="I4" s="127" t="s">
        <v>97</v>
      </c>
      <c r="J4" s="123"/>
      <c r="K4" s="10"/>
    </row>
    <row r="5" spans="1:14" ht="31.5" customHeight="1" x14ac:dyDescent="0.5">
      <c r="A5" s="95" t="s">
        <v>392</v>
      </c>
      <c r="B5" s="122">
        <f>'Project Summary'!C10</f>
        <v>0</v>
      </c>
      <c r="C5" s="282" t="s">
        <v>73</v>
      </c>
      <c r="D5" s="284"/>
      <c r="E5" s="59" t="s">
        <v>147</v>
      </c>
      <c r="F5" s="126"/>
      <c r="G5" s="467"/>
      <c r="H5" s="468"/>
      <c r="I5" s="127" t="s">
        <v>98</v>
      </c>
      <c r="J5" s="123"/>
      <c r="K5" s="17"/>
    </row>
    <row r="6" spans="1:14" s="48" customFormat="1" ht="34.5" customHeight="1" x14ac:dyDescent="0.5">
      <c r="A6" s="59" t="s">
        <v>148</v>
      </c>
      <c r="B6" s="122">
        <f>'Project Summary'!B10</f>
        <v>0</v>
      </c>
      <c r="C6" s="282" t="s">
        <v>396</v>
      </c>
      <c r="D6" s="123"/>
      <c r="E6" s="472" t="s">
        <v>355</v>
      </c>
      <c r="F6" s="472"/>
      <c r="G6" s="467"/>
      <c r="H6" s="468"/>
      <c r="I6" s="282" t="s">
        <v>397</v>
      </c>
      <c r="J6" s="197"/>
      <c r="K6" s="17"/>
    </row>
    <row r="7" spans="1:14" ht="20.85" customHeight="1" x14ac:dyDescent="0.65">
      <c r="A7" s="473" t="s">
        <v>39</v>
      </c>
      <c r="B7" s="473"/>
      <c r="C7" s="473"/>
      <c r="D7" s="473"/>
      <c r="E7" s="473"/>
      <c r="F7" s="473"/>
      <c r="G7" s="336" t="s">
        <v>348</v>
      </c>
      <c r="H7" s="336"/>
      <c r="I7" s="336"/>
      <c r="J7" s="336"/>
      <c r="K7" s="5"/>
      <c r="M7" s="2"/>
      <c r="N7" s="2"/>
    </row>
    <row r="8" spans="1:14" ht="15.75" x14ac:dyDescent="0.5">
      <c r="A8" s="12" t="s">
        <v>1</v>
      </c>
      <c r="B8" s="12" t="s">
        <v>166</v>
      </c>
      <c r="C8" s="474" t="s">
        <v>165</v>
      </c>
      <c r="D8" s="475"/>
      <c r="E8" s="12" t="s">
        <v>8</v>
      </c>
      <c r="F8" s="171" t="s">
        <v>9</v>
      </c>
      <c r="G8" s="7" t="s">
        <v>10</v>
      </c>
      <c r="H8" s="7" t="s">
        <v>11</v>
      </c>
      <c r="I8" s="28" t="s">
        <v>11</v>
      </c>
      <c r="J8" s="7" t="s">
        <v>82</v>
      </c>
      <c r="K8" s="5"/>
      <c r="M8" s="2"/>
      <c r="N8" s="2"/>
    </row>
    <row r="9" spans="1:14" ht="15.95" customHeight="1" x14ac:dyDescent="0.5">
      <c r="A9" s="492" t="s">
        <v>42</v>
      </c>
      <c r="B9" s="494" t="s">
        <v>65</v>
      </c>
      <c r="C9" s="85" t="s">
        <v>181</v>
      </c>
      <c r="D9" s="102"/>
      <c r="E9" s="11"/>
      <c r="F9" s="110" t="str">
        <f>IF(E9="","",IF(E9&gt;78,0,IF(E9&lt;55,1,ROUND(E9*'Reference Curves'!$B$6+'Reference Curves'!$B$7,2))))</f>
        <v/>
      </c>
      <c r="G9" s="454" cm="1">
        <f t="array" ref="G9">IF(OR(F9&lt;&gt;"",F10&lt;&gt;""),AVERAGE(F9:F10),_xlfn.IFS(B3="Secondary",'Functional Loss'!$H$26,B3="Tertiary",'Functional Loss'!$H$28,TRUE,'Functional Loss'!$H$23))</f>
        <v>1</v>
      </c>
      <c r="H9" s="496">
        <f>IFERROR(ROUND(AVERAGE(G9),2),"")</f>
        <v>1</v>
      </c>
      <c r="I9" s="498" t="str">
        <f>IF(H9="","",IF(H9&gt;0.69,"Functioning",IF(H9&gt;0.29,"Functioning At Risk",IF(H9&gt;-1,"Not Functioning"))))</f>
        <v>Functioning</v>
      </c>
      <c r="J9" s="482">
        <f>IF(AND(H9="",H11="",H14="",H30="",H36=""),"",ROUND((IF(H9="",0,H9)*0.2)+(IF(H11="",0,H11)*0.2)+(IF(H14="",0,H14)*0.2)+(IF(H30="",0,H30)*0.2)+(IF(H36="",0,H36)*0.2),2))</f>
        <v>1</v>
      </c>
      <c r="K9" s="5"/>
      <c r="M9" s="4"/>
      <c r="N9" s="2"/>
    </row>
    <row r="10" spans="1:14" s="2" customFormat="1" ht="15.95" customHeight="1" x14ac:dyDescent="0.5">
      <c r="A10" s="493"/>
      <c r="B10" s="495"/>
      <c r="C10" s="91" t="s">
        <v>143</v>
      </c>
      <c r="D10" s="103"/>
      <c r="E10" s="15"/>
      <c r="F10" s="111" t="str">
        <f>IF(E10="","",IF(E10&gt;3.33,0,IF(E10=0,1,ROUND(E10*'Reference Curves'!$B$10+'Reference Curves'!$B$11,2))))</f>
        <v/>
      </c>
      <c r="G10" s="455"/>
      <c r="H10" s="497"/>
      <c r="I10" s="498"/>
      <c r="J10" s="483"/>
      <c r="K10" s="5"/>
      <c r="M10" s="4"/>
    </row>
    <row r="11" spans="1:14" s="2" customFormat="1" ht="15.95" customHeight="1" x14ac:dyDescent="0.5">
      <c r="A11" s="499" t="s">
        <v>2</v>
      </c>
      <c r="B11" s="452" t="s">
        <v>3</v>
      </c>
      <c r="C11" s="104" t="s">
        <v>182</v>
      </c>
      <c r="D11" s="104"/>
      <c r="E11" s="14"/>
      <c r="F11" s="60" t="str">
        <f>IF(E11="","",ROUND(IF(OR(E11&gt;1.71,E11&lt;0.34),0,IF(E11&lt;=1,1,E11*'Reference Curves'!$D$5+'Reference Curves'!$D$6)),2))</f>
        <v/>
      </c>
      <c r="G11" s="454" cm="1">
        <f t="array" ref="G11">IF(OR(F11&lt;&gt;"",F12&lt;&gt;""),AVERAGE(F11:F12), _xlfn.IFS(B3="Secondary",'Functional Loss'!$H$26,B3="Tertiary", 'Functional Loss'!$H$28, TRUE, 'Functional Loss'!$H$23))</f>
        <v>1</v>
      </c>
      <c r="H11" s="456">
        <f>IFERROR(ROUND(AVERAGE(G11:G13),2),"")</f>
        <v>1</v>
      </c>
      <c r="I11" s="459" t="str">
        <f>IF(H11="","",IF(H11&gt;0.69,"Functioning",IF(H11&gt;0.29,"Functioning At Risk",IF(H11&gt;-1,"Not Functioning"))))</f>
        <v>Functioning</v>
      </c>
      <c r="J11" s="483"/>
      <c r="K11" s="5"/>
      <c r="M11" s="4"/>
      <c r="N11" s="4"/>
    </row>
    <row r="12" spans="1:14" s="2" customFormat="1" ht="15.95" customHeight="1" x14ac:dyDescent="0.5">
      <c r="A12" s="452"/>
      <c r="B12" s="453"/>
      <c r="C12" s="105" t="s">
        <v>183</v>
      </c>
      <c r="D12" s="105"/>
      <c r="E12" s="15"/>
      <c r="F12" s="112" t="str">
        <f>IF(E12="","",
IF(LEFT($D4,1)="C",
ROUND(IF(E12&gt;=7.3,1,
IF(E12&lt;=1,0,
IF(E12&lt;=2.2, E12*'Reference Curves'!$D$10+'Reference Curves'!$D$11, E12*'Reference Curves'!$E$10+'Reference Curves'!$E$11))),2),
IF(LEFT($D4,1)="B",
ROUND(IF(E12&gt;=2,1,
IF(E12&lt;=1,0,
IF(E12&lt;=1.4,E12*'Reference Curves'!$D$20+'Reference Curves'!$D$21,E12*'Reference Curves'!$E$20+'Reference Curves'!$E$21))),2), IF(OR(LEFT($D4,1)="E"), ROUND(IF(E12&gt;=10,1,
IF(E12&lt;=1,0,
IF(E12&lt;=2.2,  E12*'Reference Curves'!$D$15+'Reference Curves'!$D$16,
E12*'Reference Curves'!$E$15+'Reference Curves'!$E$16))),2)))))</f>
        <v/>
      </c>
      <c r="G12" s="455"/>
      <c r="H12" s="457"/>
      <c r="I12" s="460"/>
      <c r="J12" s="483"/>
      <c r="K12" s="5"/>
      <c r="M12" s="4"/>
      <c r="N12" s="4"/>
    </row>
    <row r="13" spans="1:14" s="2" customFormat="1" ht="15.95" customHeight="1" x14ac:dyDescent="0.5">
      <c r="A13" s="453"/>
      <c r="B13" s="90" t="s">
        <v>184</v>
      </c>
      <c r="C13" s="104" t="s">
        <v>185</v>
      </c>
      <c r="D13" s="104"/>
      <c r="E13" s="14"/>
      <c r="F13" s="60" t="str">
        <f>IF(E13="","",(IF(E13&gt;=1.8,0,  IF(E13=1,1,ROUND(IF(E13&gt;1,E13*'Reference Curves'!$E$25+'Reference Curves'!$E$26, IF(E11&gt;1.2, IF(E13&lt;=0.2,0,E13*'Reference Curves'!$D$25+'Reference Curves'!$D$26),1)),2)))))</f>
        <v/>
      </c>
      <c r="G13" s="120" cm="1">
        <f t="array" ref="G13">IF(OR(D4="D",D4="DA"),"",IF(F13&lt;&gt;"",IFERROR(AVERAGE(F13),""),_xlfn.IFS(B3="Secondary",'Functional Loss'!$H$26, B3="Tertiary", 'Functional Loss'!$H$28, TRUE, 'Functional Loss'!$H$23)))</f>
        <v>1</v>
      </c>
      <c r="H13" s="458"/>
      <c r="I13" s="461"/>
      <c r="J13" s="483"/>
      <c r="K13" s="5"/>
      <c r="M13" s="4"/>
      <c r="N13" s="4"/>
    </row>
    <row r="14" spans="1:14" s="2" customFormat="1" ht="15.95" customHeight="1" x14ac:dyDescent="0.5">
      <c r="A14" s="462" t="s">
        <v>14</v>
      </c>
      <c r="B14" s="462" t="s">
        <v>15</v>
      </c>
      <c r="C14" s="86" t="s">
        <v>13</v>
      </c>
      <c r="D14" s="87"/>
      <c r="E14" s="11"/>
      <c r="F14" s="113" t="str">
        <f>IF(E14="","",ROUND(IF(E14&gt;=731,1,IF(E14&lt;=0,0,IF(E14&lt;355,E14*'Reference Curves'!$G$6+'Reference Curves'!$G$7,E14*'Reference Curves'!$H$6+'Reference Curves'!$H$7))),2))</f>
        <v/>
      </c>
      <c r="G14" s="454" cm="1">
        <f t="array" ref="G14">IF(OR(F14&lt;&gt;"",F15&lt;&gt;""),AVERAGE(F14:F15), _xlfn.IFS(B3="Secondary",'Functional Loss'!$H$26,B3="Tertiary", 'Functional Loss'!$H$28, TRUE, 'Functional Loss'!$H$23))</f>
        <v>1</v>
      </c>
      <c r="H14" s="464">
        <f>IFERROR(ROUND(AVERAGE(G14:G29),2),"")</f>
        <v>1</v>
      </c>
      <c r="I14" s="459" t="str">
        <f>IF(H14="","",IF(H14&gt;0.69,"Functioning",IF(H14&gt;0.29,"Functioning At Risk",IF(H14&gt;-1,"Not Functioning"))))</f>
        <v>Functioning</v>
      </c>
      <c r="J14" s="483"/>
      <c r="K14" s="5"/>
      <c r="M14" s="4"/>
      <c r="N14" s="4"/>
    </row>
    <row r="15" spans="1:14" s="2" customFormat="1" ht="15.95" customHeight="1" x14ac:dyDescent="0.5">
      <c r="A15" s="469"/>
      <c r="B15" s="463"/>
      <c r="C15" s="83" t="s">
        <v>186</v>
      </c>
      <c r="D15" s="84"/>
      <c r="E15" s="15"/>
      <c r="F15" s="25" t="str">
        <f>IF(E15="","",ROUND(IF(E15&gt;=28,1,IF(E15&lt;16,E15*'Reference Curves'!$G$11+'Reference Curves'!$G$12,E15*'Reference Curves'!$H$11+'Reference Curves'!$H$12)),2))</f>
        <v/>
      </c>
      <c r="G15" s="455"/>
      <c r="H15" s="464"/>
      <c r="I15" s="460"/>
      <c r="J15" s="483"/>
      <c r="K15" s="5"/>
      <c r="M15" s="4"/>
      <c r="N15" s="4"/>
    </row>
    <row r="16" spans="1:14" s="2" customFormat="1" ht="15.95" customHeight="1" x14ac:dyDescent="0.5">
      <c r="A16" s="469"/>
      <c r="B16" s="469" t="s">
        <v>92</v>
      </c>
      <c r="C16" s="106" t="s">
        <v>187</v>
      </c>
      <c r="D16" s="106"/>
      <c r="E16" s="114"/>
      <c r="F16" s="24" t="str">
        <f>IF(E16="","",
ROUND(IF(E16&gt;=0.71,0,
IF(E16&lt;=0.1,1,
IF(E16&lt;=0.2,E16*'Reference Curves'!$I$16+'Reference Curves'!$I$17,
IF(E16&gt;=0.4,E16*'Reference Curves'!$G$16+'Reference Curves'!$G$17,
E16*'Reference Curves'!$H$16+'Reference Curves'!$H$17)))),2))</f>
        <v/>
      </c>
      <c r="G16" s="471" cm="1">
        <f t="array" ref="G16">IF(E19&gt;50,0,IF(OR(F16&lt;&gt;"",F17&lt;&gt;"",F18&lt;&gt;"",F19&lt;&gt;""),AVERAGE(F16:F19),_xlfn.IFS(B3="Secondary",'Functional Loss'!$H$26,B3="Tertiary",'Functional Loss'!$H$28,TRUE,'Functional Loss'!$H$23)))</f>
        <v>1</v>
      </c>
      <c r="H16" s="464"/>
      <c r="I16" s="460"/>
      <c r="J16" s="483"/>
      <c r="K16" s="5"/>
      <c r="M16" s="4"/>
      <c r="N16" s="4"/>
    </row>
    <row r="17" spans="1:14" s="48" customFormat="1" ht="15.95" customHeight="1" x14ac:dyDescent="0.5">
      <c r="A17" s="469"/>
      <c r="B17" s="469"/>
      <c r="C17" s="106" t="s">
        <v>36</v>
      </c>
      <c r="D17" s="106"/>
      <c r="E17" s="115"/>
      <c r="F17" s="8" t="str">
        <f>IF(E17="","",IF(OR(E17="Ex/VL",E17="VH/VL",E17="H/M",E17="H/L",E17="H/VL"),0.2, IF(OR(LEFT(E17,2)="Ex",E17="VH/Ex",E17="VH/VH", E17="VH/H"),0,IF(OR(E17="VH/M",E17="VH/L",E17="H/Ex", E17="H/VH", E17="H/H"),0.1, IF(OR(E17="M/Ex",E17="M/VH"),0.3, IF(E17="M/H",0.4, IF(E17="M/M",0.5, IF(OR(E17="M/L",E17="M/VL"),0.6, IF(E17="L/Ex",0.7, IF(OR(LEFT(E17,1)="L",LEFT(E17,2)="VL"),1))))))))))</f>
        <v/>
      </c>
      <c r="G17" s="471"/>
      <c r="H17" s="464"/>
      <c r="I17" s="460"/>
      <c r="J17" s="483"/>
      <c r="K17" s="5"/>
      <c r="M17" s="4"/>
      <c r="N17" s="4"/>
    </row>
    <row r="18" spans="1:14" s="2" customFormat="1" ht="15.95" customHeight="1" x14ac:dyDescent="0.5">
      <c r="A18" s="469"/>
      <c r="B18" s="469"/>
      <c r="C18" s="88" t="s">
        <v>48</v>
      </c>
      <c r="D18" s="106"/>
      <c r="E18" s="114"/>
      <c r="F18" s="8" t="str">
        <f>IF(E18="","",ROUND(IF(E18&gt;=50,0,IF(E18&lt;=5,1,IF(E18&gt;11,E18*'Reference Curves'!$G$21+'Reference Curves'!$G$22,E18*'Reference Curves'!$H$21+'Reference Curves'!$H$22))),2))</f>
        <v/>
      </c>
      <c r="G18" s="471"/>
      <c r="H18" s="464"/>
      <c r="I18" s="460"/>
      <c r="J18" s="483"/>
      <c r="K18" s="5"/>
      <c r="M18" s="4"/>
      <c r="N18" s="4"/>
    </row>
    <row r="19" spans="1:14" s="2" customFormat="1" ht="15.95" customHeight="1" x14ac:dyDescent="0.5">
      <c r="A19" s="469"/>
      <c r="B19" s="469"/>
      <c r="C19" s="107" t="s">
        <v>124</v>
      </c>
      <c r="D19" s="107"/>
      <c r="E19" s="16"/>
      <c r="F19" s="25" t="str">
        <f>IF(E19="","",ROUND(IF(E19&gt;=30,0,E19*'Reference Curves'!$G$25+'Reference Curves'!$G$26),2))</f>
        <v/>
      </c>
      <c r="G19" s="471"/>
      <c r="H19" s="464"/>
      <c r="I19" s="460"/>
      <c r="J19" s="483"/>
      <c r="K19" s="5"/>
      <c r="M19" s="4"/>
      <c r="N19" s="4"/>
    </row>
    <row r="20" spans="1:14" s="2" customFormat="1" ht="15.95" customHeight="1" x14ac:dyDescent="0.5">
      <c r="A20" s="469"/>
      <c r="B20" s="462" t="s">
        <v>37</v>
      </c>
      <c r="C20" s="108" t="s">
        <v>144</v>
      </c>
      <c r="D20" s="87"/>
      <c r="E20" s="58"/>
      <c r="F20" s="116" t="str">
        <f>IF(E20="","",
IF(AND($G3="Single Family Residential",$G2="&lt; 5 %"),
ROUND(IF(E20&lt;=0,0,IF(E20&gt;=300,1,IF(E20&gt;=50, E20*'Reference Curves'!$H$31 +'Reference Curves'!$H$32,
E20*'Reference Curves'!$G$31 +'Reference Curves'!$G$32))),2),
IF(AND($G3="Single Family Residential",$G2="5 - 20 %"),
ROUND(IF(E20&lt;=0,0,IF(E20&gt;=300,1,IF(E20&gt;=100,E20*'Reference Curves'!$J$31+'Reference Curves'!$J$32,
E20*'Reference Curves'!$I$31+'Reference Curves'!$I$32))),2),
IF(AND($G3="Single Family Residential",$G2="21 - 40 %"),
ROUND(IF(E20&lt;=0,0,IF(E20&gt;=300,1,IF(E20&gt;=150,E20*'Reference Curves'!$L$31+'Reference Curves'!$L$32,
E20*'Reference Curves'!$K$31+'Reference Curves'!$K$32))),2),
IF(AND($G3="Single Family Residential",$G2="&gt; 40 %"),
ROUND(IF(E20&lt;=0,0,IF(E20&gt;=300,1,IF(E20&gt;=200,E20*'Reference Curves'!$N$31+'Reference Curves'!$N$32,
E20*'Reference Curves'!$M$31+'Reference Curves'!$M$32))),2),                           IF(AND($G3="Multi-Family Residential",$G2="&lt; 5 %"),
ROUND(IF(E20&lt;=0,0,IF(E20&gt;=293,1,IF(E20&gt;=60,E20*'Reference Curves'!$H$37+'Reference Curves'!$H$38,
E20*'Reference Curves'!$G$37+'Reference Curves'!$G$38))),2),
IF(AND($G3="Multi-Family Residential",$G2="5 - 20 %"),
ROUND(IF(E20&lt;=0,0,IF(E20&gt;=293,1,IF(E20&gt;=120, E20*'Reference Curves'!$J$37+'Reference Curves'!$J$38,
E20*'Reference Curves'!$I$37+'Reference Curves'!$I$38))),2),
IF(AND($G3="Multi-Family Residential",$G2="21 - 40 %"),
ROUND(IF(E20&lt;=0,0,IF(E20&gt;=300,1, IF(E20&gt;=180, E20*'Reference Curves'!$L$37+'Reference Curves'!$L$38,
E20*'Reference Curves'!$K$37+'Reference Curves'!$K$38))),2),
IF(AND($G3="Multi-Family Residential",$G2="&gt; 40 %"),
ROUND(IF(E20&lt;=0,0,IF(E20&gt;=345,1,E20*'Reference Curves'!$M$37+'Reference Curves'!$M$38)),2),
IF(AND($G3="Commercial / Golf Course / Agriculture / Silviculture", $G2="&lt; 5 %"),
ROUND(IF(E20&lt;=0,0, IF(E20&gt;=300,1, IF(E20&gt;=150,E20*'Reference Curves'!$H$43+'Reference Curves'!$H$44,
E20*'Reference Curves'!$G$43+'Reference Curves'!$G$44))),2),
IF(AND($G3="Commercial / Golf Course / Agriculture / Silviculture", $G2="5 - 20 %"),
ROUND(IF(E20&lt;=0,0, IF(E20&gt;=300,1, IF(E20&gt;=150,E20*'Reference Curves'!$H$43+'Reference Curves'!$H$44,
E20*'Reference Curves'!$G$43+'Reference Curves'!$G$44))),2),
IF(AND($G3="Commercial / Golf Course / Agriculture / Silviculture",$G2="21 - 40 %"),
ROUND(IF(E20&lt;=0,0,IF(E20&gt;=322.5,1, E20*'Reference Curves'!$I$43+'Reference Curves'!$I$44)),2),
IF(AND($G3="Commercial / Golf Course / Agriculture / Silviculture",$G2="&gt; 40 %"),
ROUND(IF(E20&lt;=0,0,IF(E20&gt;=434.7,1,E20*'Reference Curves'!$J$43+'Reference Curves'!$J$44)),2),
                   IF(AND($G3="Industrial / Landfill", $G2="&lt; 5 %"),
ROUND(IF(E20&lt;=0,0,IF(E20&gt;=300,1,IF(E20&gt;=150, E20*'Reference Curves'!$H$49+'Reference Curves'!$H$50,
E20*'Reference Curves'!$G$49+'Reference Curves'!$G$50))),2),
IF(AND($G3="Industrial / Landfill", $G2="5 - 20 %"),
ROUND(IF(E20&lt;=0,0,IF(E20&gt;=357.1,1, E20*'Reference Curves'!$I$49+'Reference Curves'!$I$50)),2),
IF(AND($G3="Industrial / Landfill",$G2="21 - 40 %"),
ROUND(IF(E20&lt;=0,0,IF(E20&gt;=499.9,1, E20*'Reference Curves'!$J$49+'Reference Curves'!$J$50)),2)))))))))))))))))</f>
        <v/>
      </c>
      <c r="G20" s="454" cm="1">
        <f t="array" ref="G20">IF(OR(F20&lt;&gt;"",F21&lt;&gt;"",F22&lt;&gt;"",F23&lt;&gt;"", F24&lt;&gt;"",F25&lt;&gt;""),AVERAGE(F20:F25), _xlfn.IFS(B3="Secondary",'Functional Loss'!$H$26, B3="Tertiary", 'Functional Loss'!$H$28, TRUE, 'Functional Loss'!$H$23))</f>
        <v>1</v>
      </c>
      <c r="H20" s="464"/>
      <c r="I20" s="460"/>
      <c r="J20" s="483"/>
      <c r="K20" s="5"/>
      <c r="M20" s="4"/>
      <c r="N20" s="4"/>
    </row>
    <row r="21" spans="1:14" s="48" customFormat="1" ht="15.95" customHeight="1" x14ac:dyDescent="0.5">
      <c r="A21" s="469"/>
      <c r="B21" s="469"/>
      <c r="C21" s="106" t="s">
        <v>159</v>
      </c>
      <c r="D21" s="89"/>
      <c r="E21" s="32"/>
      <c r="F21" s="117" t="str">
        <f>IF(E21="","",ROUND(IF(E21&gt;=9.3,1,E21*'Reference Curves'!$G$53+'Reference Curves'!$G$54),2))</f>
        <v/>
      </c>
      <c r="G21" s="470"/>
      <c r="H21" s="464"/>
      <c r="I21" s="460"/>
      <c r="J21" s="483"/>
      <c r="K21" s="5"/>
      <c r="M21" s="4"/>
      <c r="N21" s="4"/>
    </row>
    <row r="22" spans="1:14" s="2" customFormat="1" ht="15.95" customHeight="1" x14ac:dyDescent="0.5">
      <c r="A22" s="469"/>
      <c r="B22" s="469"/>
      <c r="C22" s="106" t="s">
        <v>188</v>
      </c>
      <c r="D22" s="89"/>
      <c r="E22" s="32"/>
      <c r="F22" s="117" t="str">
        <f>IF(E22="","",ROUND(IF(AND(E22&gt;=135,E22&lt;=262),1,IF(E22&gt;=366,0.5,IF(E22&lt;135,E22*'Reference Curves'!$G$57+'Reference Curves'!$G$58,E22*'Reference Curves'!$H$57+'Reference Curves'!$H$58))),2))</f>
        <v/>
      </c>
      <c r="G22" s="470"/>
      <c r="H22" s="464"/>
      <c r="I22" s="460"/>
      <c r="J22" s="483"/>
      <c r="K22" s="5"/>
      <c r="M22" s="4"/>
      <c r="N22" s="4"/>
    </row>
    <row r="23" spans="1:14" s="2" customFormat="1" ht="15.95" customHeight="1" x14ac:dyDescent="0.5">
      <c r="A23" s="469"/>
      <c r="B23" s="469"/>
      <c r="C23" s="106" t="s">
        <v>189</v>
      </c>
      <c r="D23" s="89"/>
      <c r="E23" s="32"/>
      <c r="F23" s="117" t="str">
        <f>IF(E23="","",  IF($G$4="&lt; 20 %",ROUND(IF(E23&gt;=566,1,E23*'Reference Curves'!$G$61+'Reference Curves'!$G$62),2)))</f>
        <v/>
      </c>
      <c r="G23" s="470"/>
      <c r="H23" s="464"/>
      <c r="I23" s="460"/>
      <c r="J23" s="483"/>
      <c r="K23" s="5"/>
      <c r="M23" s="4"/>
      <c r="N23" s="4"/>
    </row>
    <row r="24" spans="1:14" s="2" customFormat="1" ht="15.95" customHeight="1" x14ac:dyDescent="0.5">
      <c r="A24" s="469"/>
      <c r="B24" s="469"/>
      <c r="C24" s="106" t="s">
        <v>145</v>
      </c>
      <c r="D24" s="89"/>
      <c r="E24" s="32"/>
      <c r="F24" s="117" t="str">
        <f>IF(E24="","", ROUND(IF(E24&gt;=75,1,E24*'Reference Curves'!$G$65+'Reference Curves'!$G$66),2))</f>
        <v/>
      </c>
      <c r="G24" s="470"/>
      <c r="H24" s="464"/>
      <c r="I24" s="460"/>
      <c r="J24" s="483"/>
      <c r="K24" s="5"/>
      <c r="M24" s="4"/>
      <c r="N24" s="4"/>
    </row>
    <row r="25" spans="1:14" s="2" customFormat="1" ht="15.95" customHeight="1" x14ac:dyDescent="0.5">
      <c r="A25" s="469"/>
      <c r="B25" s="469"/>
      <c r="C25" s="106" t="s">
        <v>190</v>
      </c>
      <c r="D25" s="89"/>
      <c r="E25" s="32"/>
      <c r="F25" s="117" t="str">
        <f>IF(E25="","",IF(E25&gt;=100,0,ROUND(IF(E25&lt;=0,1,E25*'Reference Curves'!$G$69+'Reference Curves'!$G$70),2)))</f>
        <v/>
      </c>
      <c r="G25" s="470"/>
      <c r="H25" s="464"/>
      <c r="I25" s="460"/>
      <c r="J25" s="483"/>
      <c r="K25" s="5"/>
      <c r="M25" s="4"/>
      <c r="N25" s="4"/>
    </row>
    <row r="26" spans="1:14" s="48" customFormat="1" ht="15.95" customHeight="1" x14ac:dyDescent="0.5">
      <c r="A26" s="469"/>
      <c r="B26" s="463"/>
      <c r="C26" s="106" t="s">
        <v>191</v>
      </c>
      <c r="D26" s="165"/>
      <c r="E26" s="32"/>
      <c r="F26" s="117"/>
      <c r="G26" s="455"/>
      <c r="H26" s="464"/>
      <c r="I26" s="460"/>
      <c r="J26" s="483"/>
      <c r="K26" s="5"/>
      <c r="M26" s="4"/>
      <c r="N26" s="4"/>
    </row>
    <row r="27" spans="1:14" s="2" customFormat="1" ht="15.95" customHeight="1" x14ac:dyDescent="0.5">
      <c r="A27" s="469"/>
      <c r="B27" s="462" t="s">
        <v>38</v>
      </c>
      <c r="C27" s="108" t="s">
        <v>192</v>
      </c>
      <c r="D27" s="87"/>
      <c r="E27" s="11"/>
      <c r="F27" s="24" t="str">
        <f>IF(E27="","",
IF($D4="Bc", ROUND(IF(E27&lt;=5,1,
IF(E27&gt;=8,0,
IF(E27&lt;6,E27*'Reference Curves'!$G$79+'Reference Curves'!$G$80,E27*'Reference Curves'!$H$79+'Reference Curves'!$H$80))),2),       IF(OR(LEFT($D4,1)="B",LEFT($D4,1)="A"),
ROUND(IF(E27&lt;=4,1,
IF(E27&gt;=6.5,0,
IF(E27&lt;5,E27*'Reference Curves'!$G$74+'Reference Curves'!$G$75, E27*'Reference Curves'!$H$74+'Reference Curves'!$H$75))),2),   IF(OR(LEFT($D4,1)="E",LEFT($D4,1)="C"),
ROUND(IF(OR(E27&gt;=9,E27&lt;=1),0,
IF(AND(E27&gt;=3.5,E27&lt;=6),1,
IF(E27&lt;3.5,E27*'Reference Curves'!$G$84+'Reference Curves'!$G$85,
E27*'Reference Curves'!$H$84+'Reference Curves'!$H$85))),2)))))</f>
        <v/>
      </c>
      <c r="G27" s="454" cm="1">
        <f t="array" ref="G27">IF(OR(D4="D",D4="DA"),"",IF(OR(F27&lt;&gt;"",F28&lt;&gt;"",F29&lt;&gt;""),AVERAGE(F27:F29),_xlfn.IFS(B3="Secondary",'Functional Loss'!$H$26,B3="Tertiary",'Functional Loss'!$H$28,TRUE,'Functional Loss'!$H$23)))</f>
        <v>1</v>
      </c>
      <c r="H27" s="464"/>
      <c r="I27" s="460"/>
      <c r="J27" s="483"/>
      <c r="K27" s="5"/>
      <c r="M27" s="4"/>
      <c r="N27" s="4"/>
    </row>
    <row r="28" spans="1:14" ht="15.95" customHeight="1" x14ac:dyDescent="0.5">
      <c r="A28" s="469"/>
      <c r="B28" s="469"/>
      <c r="C28" s="106" t="s">
        <v>193</v>
      </c>
      <c r="D28" s="89"/>
      <c r="E28" s="14"/>
      <c r="F28" s="8" t="str">
        <f>IF(E28="","",IF(LEFT($D4,1)="A",
IF(E28&gt;=1.7,1,
IF(E28&lt;=1,0,
ROUND(IF(E28&lt;=1.1,'Reference Curves'!$G$89+'Reference Curves'!$G$90,
(IF(E28&gt;=1.4,E28*'Reference Curves'!$I$89+'Reference Curves'!$I$90,
E28*'Reference Curves'!$H$89+'Reference Curves'!$H$90))),2))),            IF(LEFT($D4,1)="B",
IF(E28&gt;=2.9,1,
IF(E28&lt;=1,0,
ROUND(IF(E28&lt;=2,E28*'Reference Curves'!$G$94+'Reference Curves'!$G$95,
(IF(E28&gt;=2.3,E28*'Reference Curves'!$I$94+'Reference Curves'!$I$95,
E28*'Reference Curves'!$H$94+'Reference Curves'!$H$95))),2))),     IF(LEFT($D4,1)="C",
IF(E28&gt;=2.3,1,
IF(E28&lt;=1,0,
ROUND(IF(E28&lt;=1.2,E28*'Reference Curves'!$G$99+'Reference Curves'!$G$100,
IF(E28&gt;=1.9, E28*'Reference Curves'!$I$99+'Reference Curves'!$I$100,
E28*'Reference Curves'!$H$99+'Reference Curves'!$H$100)),2))),          IF(LEFT($D4,1)="E",
IF(E28&gt;=2.1,1,
IF(E28&lt;=1,0,
ROUND(IF(E28&gt;=1.7, E28*'Reference Curves'!$I$104+'Reference Curves'!$I$105, IF(E28&lt;=1.4,
E28*'Reference Curves'!$G$104+'Reference Curves'!$G$105,E28*'Reference Curves'!$H$104+'Reference Curves'!$H$105)),2))))))))</f>
        <v/>
      </c>
      <c r="G28" s="470"/>
      <c r="H28" s="464"/>
      <c r="I28" s="460"/>
      <c r="J28" s="483"/>
      <c r="K28" s="5"/>
      <c r="N28" s="4"/>
    </row>
    <row r="29" spans="1:14" s="2" customFormat="1" ht="15.95" customHeight="1" x14ac:dyDescent="0.5">
      <c r="A29" s="469"/>
      <c r="B29" s="463"/>
      <c r="C29" s="109" t="s">
        <v>80</v>
      </c>
      <c r="D29" s="84"/>
      <c r="E29" s="14"/>
      <c r="F29" s="118" t="str">
        <f>IF(E29="","",IF(OR(LEFT($D4,1)="F",LEFT($D4,1)="G",LEFT($D4,1)="D"),"FALSE",
IF(LEFT($D4,1)="A",
ROUND(IF(OR(E29&gt;=100,E29&lt;=0),0,IF(E29&lt;=54,E29*'Reference Curves'!$G$109+'Reference Curves'!$G$110,
IF(E29&gt;=62,E29*'Reference Curves'!$H$109+'Reference Curves'!$H$110,1))),2),IF(LEFT($D4,1)="B",
ROUND(IF(OR(E29&gt;=100,E29&lt;=0),0,IF(E29&lt;=53,E29*'Reference Curves'!$G$114+'Reference Curves'!$G$115,
IF(E29&gt;=61,E29*'Reference Curves'!$H$114+'Reference Curves'!$H$115,1))),2),
IF(LEFT($D4,1)="C",
ROUND(IF(OR(E29&gt;=100,E29&lt;=0),0,
IF(E29&lt;45,E29*'Reference Curves'!$G$119+'Reference Curves'!$G$120,
IF(E29&gt;=64,E29*'Reference Curves'!$H$119+'Reference Curves'!$H$120,1))),2),
IF(LEFT($D4,1)="E",
ROUND(IF(OR(E29&gt;=100,E29&lt;=0),0,
IF(E29&lt;43,E29*'Reference Curves'!$G$124+'Reference Curves'!$G$125,
IF(E29&gt;=63,E29*'Reference Curves'!$H$124+'Reference Curves'!$H$125,1))),2),))))))</f>
        <v/>
      </c>
      <c r="G29" s="470"/>
      <c r="H29" s="464"/>
      <c r="I29" s="461"/>
      <c r="J29" s="483"/>
      <c r="K29" s="5"/>
      <c r="N29" s="4"/>
    </row>
    <row r="30" spans="1:14" s="48" customFormat="1" ht="15.95" customHeight="1" x14ac:dyDescent="0.5">
      <c r="A30" s="485" t="s">
        <v>40</v>
      </c>
      <c r="B30" s="97" t="s">
        <v>103</v>
      </c>
      <c r="C30" s="267" t="s">
        <v>235</v>
      </c>
      <c r="D30" s="98"/>
      <c r="E30" s="26"/>
      <c r="F30" s="119" t="str">
        <f>IF(E30="","",IF($G5="Coldwater",IF(E30&gt;=77,0,IF(E30&lt;=58.04,1,ROUND(E30*'Reference Curves'!$P$6+'Reference Curves'!$P$7,2)))))</f>
        <v/>
      </c>
      <c r="G30" s="120" cm="1">
        <f t="array" ref="G30">IF(G5="Warmwater","", IF(F30&lt;&gt;"",AVERAGE(F30),_xlfn.IFS(B3="Secondary",'Functional Loss'!$H$26,B3="Tertiary",'Functional Loss'!$H$28,TRUE,'Functional Loss'!$H$23)))</f>
        <v>1</v>
      </c>
      <c r="H30" s="465">
        <f>IFERROR(ROUND(AVERAGE(G30:G35),2),"")</f>
        <v>1</v>
      </c>
      <c r="I30" s="480" t="str">
        <f>IF(H30="","",IF(H30&gt;0.69,"Functioning",IF(H30&gt;0.29,"Functioning At Risk",IF(H30&gt;-1,"Not Functioning"))))</f>
        <v>Functioning</v>
      </c>
      <c r="J30" s="483"/>
      <c r="K30" s="5"/>
      <c r="N30" s="4"/>
    </row>
    <row r="31" spans="1:14" s="48" customFormat="1" ht="15.95" customHeight="1" x14ac:dyDescent="0.5">
      <c r="A31" s="486"/>
      <c r="B31" s="81" t="s">
        <v>127</v>
      </c>
      <c r="C31" s="268" t="s">
        <v>370</v>
      </c>
      <c r="D31" s="99"/>
      <c r="E31" s="26"/>
      <c r="F31" s="119" t="str">
        <f>IF(E31="","",
ROUND(IF(E31&gt;='Reference Curves'!$P$16,0,
IF(E31&lt;=35,1,
IF(E31&gt;=121,E31*'Reference Curves'!$P$11+'Reference Curves'!$P$12,
E31*'Reference Curves'!$Q$11+'Reference Curves'!$Q$12))),2))</f>
        <v/>
      </c>
      <c r="G31" s="119" cm="1">
        <f t="array" ref="G31">IF(F31&lt;&gt;"",AVERAGE(F31),_xlfn.IFS(B3="Secondary",'Functional Loss'!$H$26,B3="Tertiary", 'Functional Loss'!$H$28, TRUE, 'Functional Loss'!$H$23))</f>
        <v>1</v>
      </c>
      <c r="H31" s="488"/>
      <c r="I31" s="489"/>
      <c r="J31" s="483"/>
      <c r="K31" s="5"/>
      <c r="N31" s="4"/>
    </row>
    <row r="32" spans="1:14" ht="15.95" customHeight="1" x14ac:dyDescent="0.5">
      <c r="A32" s="486"/>
      <c r="B32" s="100" t="s">
        <v>196</v>
      </c>
      <c r="C32" s="100" t="s">
        <v>197</v>
      </c>
      <c r="D32" s="101"/>
      <c r="E32" s="14"/>
      <c r="F32" s="119" t="str">
        <f>IF(E32="","",
IF(E32&gt;=2.3,0,
IF(E32&lt;=0.4,1,
ROUND(IF(E32&lt;0.8,E32*'Reference Curves'!$Q$21+'Reference Curves'!$Q$22,E32*'Reference Curves'!$P$21+'Reference Curves'!$P$22),2))))</f>
        <v/>
      </c>
      <c r="G32" s="119" cm="1">
        <f t="array" ref="G32">IF(F32&lt;&gt;"",AVERAGE(F32),_xlfn.IFS(B3="Secondary",'Functional Loss'!$H$26, B3="Tertiary", 'Functional Loss'!$H$28, TRUE, 'Functional Loss'!$H$23))</f>
        <v>1</v>
      </c>
      <c r="H32" s="488"/>
      <c r="I32" s="489"/>
      <c r="J32" s="483"/>
      <c r="K32" s="5"/>
      <c r="M32" s="2"/>
      <c r="N32" s="4"/>
    </row>
    <row r="33" spans="1:14" ht="15.95" customHeight="1" x14ac:dyDescent="0.5">
      <c r="A33" s="486"/>
      <c r="B33" s="100" t="s">
        <v>198</v>
      </c>
      <c r="C33" s="263" t="s">
        <v>199</v>
      </c>
      <c r="D33" s="269"/>
      <c r="E33" s="11"/>
      <c r="F33" s="119" t="str">
        <f>IF(E33="","",
IF(E33&gt;=0.2,0,
IF(E33&lt;=0.04,1,
ROUND(IF(E33&lt;0.08,E33*'Reference Curves'!$Q$26+'Reference Curves'!$Q$27,
E33*'Reference Curves'!$P$26+'Reference Curves'!$P$27),2))))</f>
        <v/>
      </c>
      <c r="G33" s="119" cm="1">
        <f t="array" ref="G33">IF(F33&lt;&gt;"",AVERAGE(F33),_xlfn.IFS(B3="Secondary",'Functional Loss'!$H$26, B3="Tertiary", 'Functional Loss'!$H$28, TRUE, 'Functional Loss'!$H$23))</f>
        <v>1</v>
      </c>
      <c r="H33" s="488"/>
      <c r="I33" s="489"/>
      <c r="J33" s="483"/>
      <c r="K33" s="5"/>
      <c r="M33" s="2"/>
      <c r="N33" s="4"/>
    </row>
    <row r="34" spans="1:14" s="48" customFormat="1" ht="15.95" customHeight="1" x14ac:dyDescent="0.5">
      <c r="A34" s="486"/>
      <c r="B34" s="490" t="s">
        <v>371</v>
      </c>
      <c r="C34" s="263" t="s">
        <v>372</v>
      </c>
      <c r="D34" s="270"/>
      <c r="E34" s="271"/>
      <c r="F34" s="119" t="str">
        <f>IF(E34="","",
IF(E34&gt;=100,0,
IF(E34&lt;=10,1,
ROUND(IF(E34&lt;50,E34*'Reference Curves'!$Q$32+'Reference Curves'!$Q$33,
E34*'Reference Curves'!$P$32+'Reference Curves'!$P$33),2)
)))</f>
        <v/>
      </c>
      <c r="G34" s="465" cm="1">
        <f t="array" ref="G34">IF(OR(F34&lt;&gt;"",F35&lt;&gt;""),AVERAGE(F34:F35), _xlfn.IFS(B3="Secondary",'Functional Loss'!$H$26,B3="Tertiary", 'Functional Loss'!$H$28, TRUE, 'Functional Loss'!$H$23))</f>
        <v>1</v>
      </c>
      <c r="H34" s="488"/>
      <c r="I34" s="489"/>
      <c r="J34" s="483"/>
      <c r="K34" s="5"/>
      <c r="N34" s="4"/>
    </row>
    <row r="35" spans="1:14" s="48" customFormat="1" ht="15.95" customHeight="1" x14ac:dyDescent="0.5">
      <c r="A35" s="487"/>
      <c r="B35" s="491"/>
      <c r="C35" s="266" t="s">
        <v>373</v>
      </c>
      <c r="D35" s="264"/>
      <c r="E35" s="16"/>
      <c r="F35" s="265" t="str">
        <f>IF(E35="","",
IF(E35&gt;=100,0,
IF(E35&lt;=10,1,
ROUND(IF(E35&lt;50,E35*'Reference Curves'!$Q$32+'Reference Curves'!$Q$33,
E35*'Reference Curves'!$P$32+'Reference Curves'!$P$33),2)
)))</f>
        <v/>
      </c>
      <c r="G35" s="466"/>
      <c r="H35" s="466"/>
      <c r="I35" s="481"/>
      <c r="J35" s="483"/>
      <c r="K35" s="5"/>
      <c r="N35" s="4"/>
    </row>
    <row r="36" spans="1:14" s="48" customFormat="1" ht="15.95" customHeight="1" x14ac:dyDescent="0.5">
      <c r="A36" s="476" t="s">
        <v>41</v>
      </c>
      <c r="B36" s="211" t="s">
        <v>81</v>
      </c>
      <c r="C36" s="56" t="s">
        <v>200</v>
      </c>
      <c r="D36" s="57"/>
      <c r="E36" s="273"/>
      <c r="F36" s="274" t="str">
        <f>IF(E36="","",
IF($D2="Blue Ridge Mountains",
ROUND(IF(E36&lt;=0,0,
IF(E36&gt;=36,1,
IF(E36&lt;=19,E36*'Reference Curves'!$S$6+'Reference Curves'!$S$7,
IF(E36&gt;=28, E36*'Reference Curves'!$U$6+'Reference Curves'!$U$7,
E36*'Reference Curves'!$T$6+'Reference Curves'!$T$7 )))),2),
IF($D2="Piedmont",
ROUND(IF(E36&lt;=0,0,
IF(E36&gt;=28,1,
IF(E36&lt;=14,E36*'Reference Curves'!$S$11+'Reference Curves'!$S$12,
IF(E36&gt;=21, E36*'Reference Curves'!$U$11+'Reference Curves'!$U$12,
E36*'Reference Curves'!$T$11+'Reference Curves'!$T$12)))),2),
IF(OR($D2="Southeastern Plains",$D2="Middle Atlantic Coastal Plain"),
ROUND(IF(E36&lt;=0,0,
IF(E36&gt;=15,1,
IF(E36&lt;=5, E36*'Reference Curves'!$S$16+'Reference Curves'!$S$17,
IF(E36&gt;=10,E36*'Reference Curves'!$U$16+'Reference Curves'!$U$17,
E36*'Reference Curves'!$T$16+'Reference Curves'!$T$17)))),2)))))</f>
        <v/>
      </c>
      <c r="G36" s="272" cm="1">
        <f t="array" ref="G36">IF(F36&lt;&gt;"",AVERAGE(F36),_xlfn.IFS(B3="Secondary",'Functional Loss'!$H$26, B3="Tertiary", 'Functional Loss'!$H$28, TRUE, 'Functional Loss'!$H$23))</f>
        <v>1</v>
      </c>
      <c r="H36" s="478">
        <f>IFERROR(ROUND(AVERAGE(G36:G37),2),"")</f>
        <v>1</v>
      </c>
      <c r="I36" s="480" t="str">
        <f>IF(H36="","",IF(H36&gt;0.69,"Functioning",IF(H36&gt;0.29,"Functioning At Risk",IF(H36&gt;-1,"Not Functioning"))))</f>
        <v>Functioning</v>
      </c>
      <c r="J36" s="483"/>
      <c r="K36" s="5"/>
      <c r="N36" s="4"/>
    </row>
    <row r="37" spans="1:14" s="2" customFormat="1" ht="15.95" customHeight="1" x14ac:dyDescent="0.5">
      <c r="A37" s="477"/>
      <c r="B37" s="211" t="s">
        <v>45</v>
      </c>
      <c r="C37" s="57" t="s">
        <v>374</v>
      </c>
      <c r="D37" s="57"/>
      <c r="E37" s="275"/>
      <c r="F37" s="210" t="str">
        <f>IF(E37="","",
IF($G6="1 - Upland Santee/Pee-Dee Basin",
IF(E37&lt;-1,0,
IF(E37&gt;1,1,
ROUND(IF(E37&gt;=0.05,E37*'Reference Curves'!$T$21+'Reference Curves'!$T$22,
E37*'Reference Curves'!$S$21+'Reference Curves'!$S$22),2))),
IF($G6="2 - Upland Savannah",
IF(E37&lt;-1,0,
IF(E37&gt;1,1,
ROUND(IF(E37&gt;=0.002,E37*'Reference Curves'!$T$26+'Reference Curves'!$T$27,
E37*'Reference Curves'!$S$26+'Reference Curves'!$S$27),2))),
IF($G6="3 - Lowland Perennial",
IF(E37&lt;-1,0,
IF(E37&gt;1,1,
ROUND(IF(E37&gt;=0.005,E37*'Reference Curves'!$T$31+'Reference Curves'!$T$32,
E37*'Reference Curves'!$S$31+'Reference Curves'!$S$32),2))),
IF($G6="4 - Lowland Stable Baseflow",
IF(E37&lt;-1,0,
IF(E37&gt;1,1,
ROUND(IF(E37&gt;=0.3,E37*'Reference Curves'!$T$36+'Reference Curves'!$T$37,
E37*'Reference Curves'!$S$36+'Reference Curves'!$S$37),2))))))))</f>
        <v/>
      </c>
      <c r="G37" s="120" cm="1">
        <f t="array" ref="G37">IF(F37&lt;&gt;"",AVERAGE(F37),_xlfn.IFS(B3="Secondary",'Functional Loss'!$H$26, B3="Tertiary", 'Functional Loss'!$H$28, TRUE, 'Functional Loss'!$H$23))</f>
        <v>1</v>
      </c>
      <c r="H37" s="479"/>
      <c r="I37" s="481"/>
      <c r="J37" s="484"/>
      <c r="K37" s="5"/>
      <c r="N37" s="4"/>
    </row>
    <row r="38" spans="1:14" ht="14.1" customHeight="1" x14ac:dyDescent="0.45"/>
    <row r="39" spans="1:14" s="48" customFormat="1" ht="30" customHeight="1" x14ac:dyDescent="0.65">
      <c r="A39" s="500" t="s">
        <v>395</v>
      </c>
      <c r="B39" s="501"/>
      <c r="C39" s="501"/>
      <c r="D39" s="501"/>
      <c r="E39" s="501"/>
      <c r="F39" s="501"/>
      <c r="G39" s="501"/>
      <c r="H39" s="501"/>
      <c r="I39" s="501"/>
      <c r="J39" s="502"/>
    </row>
    <row r="40" spans="1:14" s="48" customFormat="1" ht="30.75" customHeight="1" x14ac:dyDescent="0.45">
      <c r="A40" s="121" t="s">
        <v>59</v>
      </c>
      <c r="B40" s="122">
        <f>'Project Summary'!$A11</f>
        <v>0</v>
      </c>
      <c r="C40" s="282" t="s">
        <v>146</v>
      </c>
      <c r="D40" s="283"/>
      <c r="E40" s="59" t="s">
        <v>236</v>
      </c>
      <c r="F40" s="121"/>
      <c r="G40" s="467"/>
      <c r="H40" s="468"/>
      <c r="I40" s="127" t="s">
        <v>95</v>
      </c>
      <c r="J40" s="123"/>
    </row>
    <row r="41" spans="1:14" s="48" customFormat="1" ht="30.75" customHeight="1" x14ac:dyDescent="0.45">
      <c r="A41" s="121" t="s">
        <v>201</v>
      </c>
      <c r="B41" s="122">
        <f>'Project Summary'!D11</f>
        <v>0</v>
      </c>
      <c r="C41" s="282" t="s">
        <v>60</v>
      </c>
      <c r="D41" s="284"/>
      <c r="E41" s="59" t="s">
        <v>237</v>
      </c>
      <c r="F41" s="124"/>
      <c r="G41" s="467"/>
      <c r="H41" s="468"/>
      <c r="I41" s="127" t="s">
        <v>96</v>
      </c>
      <c r="J41" s="123"/>
    </row>
    <row r="42" spans="1:14" s="48" customFormat="1" ht="30.75" customHeight="1" x14ac:dyDescent="0.65">
      <c r="A42" s="121" t="s">
        <v>316</v>
      </c>
      <c r="B42" s="122">
        <f>'Functional Loss'!D10</f>
        <v>0</v>
      </c>
      <c r="C42" s="282" t="s">
        <v>94</v>
      </c>
      <c r="D42" s="284"/>
      <c r="E42" s="503" t="s">
        <v>346</v>
      </c>
      <c r="F42" s="504"/>
      <c r="G42" s="467"/>
      <c r="H42" s="468"/>
      <c r="I42" s="127" t="s">
        <v>97</v>
      </c>
      <c r="J42" s="123"/>
      <c r="K42" s="10"/>
    </row>
    <row r="43" spans="1:14" s="48" customFormat="1" ht="30.75" customHeight="1" x14ac:dyDescent="0.5">
      <c r="A43" s="95" t="s">
        <v>392</v>
      </c>
      <c r="B43" s="122">
        <f>'Project Summary'!C11</f>
        <v>0</v>
      </c>
      <c r="C43" s="282" t="s">
        <v>73</v>
      </c>
      <c r="D43" s="284"/>
      <c r="E43" s="59" t="s">
        <v>147</v>
      </c>
      <c r="F43" s="126"/>
      <c r="G43" s="467"/>
      <c r="H43" s="468"/>
      <c r="I43" s="127" t="s">
        <v>98</v>
      </c>
      <c r="J43" s="123"/>
      <c r="K43" s="17"/>
    </row>
    <row r="44" spans="1:14" s="48" customFormat="1" ht="31.5" customHeight="1" x14ac:dyDescent="0.45">
      <c r="A44" s="59" t="s">
        <v>148</v>
      </c>
      <c r="B44" s="122">
        <f>'Project Summary'!B11</f>
        <v>0</v>
      </c>
      <c r="C44" s="282" t="s">
        <v>396</v>
      </c>
      <c r="D44" s="123"/>
      <c r="E44" s="472" t="s">
        <v>355</v>
      </c>
      <c r="F44" s="472"/>
      <c r="G44" s="467"/>
      <c r="H44" s="468"/>
      <c r="I44" s="282" t="s">
        <v>226</v>
      </c>
      <c r="J44" s="284"/>
      <c r="K44" s="5"/>
    </row>
    <row r="45" spans="1:14" s="48" customFormat="1" ht="28.5" customHeight="1" x14ac:dyDescent="0.65">
      <c r="A45" s="473" t="s">
        <v>39</v>
      </c>
      <c r="B45" s="473"/>
      <c r="C45" s="473"/>
      <c r="D45" s="473"/>
      <c r="E45" s="473"/>
      <c r="F45" s="473"/>
      <c r="G45" s="336" t="s">
        <v>348</v>
      </c>
      <c r="H45" s="336"/>
      <c r="I45" s="336"/>
      <c r="J45" s="336"/>
      <c r="K45" s="5"/>
    </row>
    <row r="46" spans="1:14" s="48" customFormat="1" ht="15.75" x14ac:dyDescent="0.5">
      <c r="A46" s="12" t="s">
        <v>1</v>
      </c>
      <c r="B46" s="12" t="s">
        <v>166</v>
      </c>
      <c r="C46" s="474" t="s">
        <v>165</v>
      </c>
      <c r="D46" s="475"/>
      <c r="E46" s="12" t="s">
        <v>8</v>
      </c>
      <c r="F46" s="171" t="s">
        <v>9</v>
      </c>
      <c r="G46" s="12" t="s">
        <v>10</v>
      </c>
      <c r="H46" s="12" t="s">
        <v>11</v>
      </c>
      <c r="I46" s="28" t="s">
        <v>11</v>
      </c>
      <c r="J46" s="12" t="s">
        <v>82</v>
      </c>
      <c r="K46" s="5"/>
      <c r="M46" s="4"/>
    </row>
    <row r="47" spans="1:14" s="48" customFormat="1" ht="15.95" customHeight="1" x14ac:dyDescent="0.5">
      <c r="A47" s="492" t="s">
        <v>42</v>
      </c>
      <c r="B47" s="494" t="s">
        <v>65</v>
      </c>
      <c r="C47" s="166" t="s">
        <v>181</v>
      </c>
      <c r="D47" s="102"/>
      <c r="E47" s="11"/>
      <c r="F47" s="110" t="str">
        <f>IF(E47="","",IF(E47&gt;78,0,IF(E47&lt;55,1,ROUND(E47*'Reference Curves'!$B$6+'Reference Curves'!$B$7,2))))</f>
        <v/>
      </c>
      <c r="G47" s="454" cm="1">
        <f t="array" ref="G47">IF(OR(F47&lt;&gt;"",F48&lt;&gt;""),AVERAGE(F47:F48),_xlfn.IFS(B41="Secondary",'Functional Loss'!$H$26,B41="Tertiary",'Functional Loss'!$H$28,TRUE,'Functional Loss'!$H$23))</f>
        <v>1</v>
      </c>
      <c r="H47" s="496">
        <f>IFERROR(ROUND(AVERAGE(G47),2),"")</f>
        <v>1</v>
      </c>
      <c r="I47" s="498" t="str">
        <f>IF(H47="","",IF(H47&gt;0.69,"Functioning",IF(H47&gt;0.29,"Functioning At Risk",IF(H47&gt;-1,"Not Functioning"))))</f>
        <v>Functioning</v>
      </c>
      <c r="J47" s="482">
        <f>IF(AND(H47="",H49="",H52="",H68="",H74=""),"",ROUND((IF(H47="",0,H47)*0.2)+(IF(H49="",0,H49)*0.2)+(IF(H52="",0,H52)*0.2)+(IF(H68="",0,H68)*0.2)+(IF(H74="",0,H74)*0.2),2))</f>
        <v>1</v>
      </c>
      <c r="K47" s="5"/>
      <c r="M47" s="4"/>
    </row>
    <row r="48" spans="1:14" s="48" customFormat="1" ht="15.95" customHeight="1" x14ac:dyDescent="0.5">
      <c r="A48" s="493"/>
      <c r="B48" s="495"/>
      <c r="C48" s="167" t="s">
        <v>143</v>
      </c>
      <c r="D48" s="103"/>
      <c r="E48" s="15"/>
      <c r="F48" s="111" t="str">
        <f>IF(E48="","",IF(E48&gt;3.33,0,IF(E48=0,1,ROUND(E48*'Reference Curves'!$B$10+'Reference Curves'!$B$11,2))))</f>
        <v/>
      </c>
      <c r="G48" s="455"/>
      <c r="H48" s="497"/>
      <c r="I48" s="498"/>
      <c r="J48" s="483"/>
      <c r="K48" s="5"/>
      <c r="M48" s="4"/>
      <c r="N48" s="4"/>
    </row>
    <row r="49" spans="1:14" s="48" customFormat="1" ht="15.95" customHeight="1" x14ac:dyDescent="0.5">
      <c r="A49" s="499" t="s">
        <v>2</v>
      </c>
      <c r="B49" s="452" t="s">
        <v>3</v>
      </c>
      <c r="C49" s="104" t="s">
        <v>182</v>
      </c>
      <c r="D49" s="104"/>
      <c r="E49" s="14"/>
      <c r="F49" s="60" t="str">
        <f>IF(E49="","",ROUND(IF(OR(E49&gt;1.71,E49&lt;0.34),0,IF(E49&lt;=1,1,E49*'Reference Curves'!$D$5+'Reference Curves'!$D$6)),2))</f>
        <v/>
      </c>
      <c r="G49" s="454" cm="1">
        <f t="array" ref="G49">IF(OR(F49&lt;&gt;"",F50&lt;&gt;""),AVERAGE(F49:F50), _xlfn.IFS(B41="Secondary",'Functional Loss'!$H$26,B41="Tertiary", 'Functional Loss'!$H$28, TRUE, 'Functional Loss'!$H$23))</f>
        <v>1</v>
      </c>
      <c r="H49" s="456">
        <f>IFERROR(ROUND(AVERAGE(G49:G51),2),"")</f>
        <v>1</v>
      </c>
      <c r="I49" s="459" t="str">
        <f>IF(H49="","",IF(H49&gt;0.69,"Functioning",IF(H49&gt;0.29,"Functioning At Risk",IF(H49&gt;-1,"Not Functioning"))))</f>
        <v>Functioning</v>
      </c>
      <c r="J49" s="483"/>
      <c r="K49" s="5"/>
      <c r="M49" s="4"/>
      <c r="N49" s="4"/>
    </row>
    <row r="50" spans="1:14" s="48" customFormat="1" ht="15.95" customHeight="1" x14ac:dyDescent="0.5">
      <c r="A50" s="452"/>
      <c r="B50" s="453"/>
      <c r="C50" s="105" t="s">
        <v>183</v>
      </c>
      <c r="D50" s="105"/>
      <c r="E50" s="15"/>
      <c r="F50" s="112" t="str">
        <f>IF(E50="","",
IF(LEFT($D42,1)="C",
ROUND(IF(E50&gt;=7.3,1,
IF(E50&lt;=1,0,
IF(E50&lt;=2.2, E50*'Reference Curves'!$D$10+'Reference Curves'!$D$11, E50*'Reference Curves'!$E$10+'Reference Curves'!$E$11))),2),
IF(LEFT($D42,1)="B",
ROUND(IF(E50&gt;=2,1,
IF(E50&lt;=1,0,
IF(E50&lt;=1.4,E50*'Reference Curves'!$D$20+'Reference Curves'!$D$21,E50*'Reference Curves'!$E$20+'Reference Curves'!$E$21))),2), IF(OR(LEFT($D42,1)="E"), ROUND(IF(E50&gt;=10,1,
IF(E50&lt;=1,0,
IF(E50&lt;=2.2,  E50*'Reference Curves'!$D$15+'Reference Curves'!$D$16,
E50*'Reference Curves'!$E$15+'Reference Curves'!$E$16))),2)))))</f>
        <v/>
      </c>
      <c r="G50" s="455"/>
      <c r="H50" s="457"/>
      <c r="I50" s="460"/>
      <c r="J50" s="483"/>
      <c r="K50" s="5"/>
      <c r="M50" s="4"/>
      <c r="N50" s="4"/>
    </row>
    <row r="51" spans="1:14" s="48" customFormat="1" ht="15.95" customHeight="1" x14ac:dyDescent="0.5">
      <c r="A51" s="453"/>
      <c r="B51" s="248" t="s">
        <v>184</v>
      </c>
      <c r="C51" s="104" t="s">
        <v>185</v>
      </c>
      <c r="D51" s="104"/>
      <c r="E51" s="14"/>
      <c r="F51" s="60" t="str">
        <f>IF(E51="","",(IF(E51&gt;=1.8,0,  IF(E51=1,1,ROUND(IF(E51&gt;1,E51*'Reference Curves'!$E$25+'Reference Curves'!$E$26, IF(E49&gt;1.2, IF(E51&lt;=0.2,0,E51*'Reference Curves'!$D$25+'Reference Curves'!$D$26),1)),2)))))</f>
        <v/>
      </c>
      <c r="G51" s="120" cm="1">
        <f t="array" ref="G51">IF(OR(D42="D",D42="DA"),"",IF(F51&lt;&gt;"",IFERROR(AVERAGE(F51),""),_xlfn.IFS(B41="Secondary",'Functional Loss'!$H$26, B41="Tertiary", 'Functional Loss'!$H$28, TRUE, 'Functional Loss'!$H$23)))</f>
        <v>1</v>
      </c>
      <c r="H51" s="458"/>
      <c r="I51" s="461"/>
      <c r="J51" s="483"/>
      <c r="K51" s="5"/>
      <c r="M51" s="4"/>
      <c r="N51" s="4"/>
    </row>
    <row r="52" spans="1:14" s="48" customFormat="1" ht="15.95" customHeight="1" x14ac:dyDescent="0.5">
      <c r="A52" s="462" t="s">
        <v>14</v>
      </c>
      <c r="B52" s="462" t="s">
        <v>15</v>
      </c>
      <c r="C52" s="162" t="s">
        <v>13</v>
      </c>
      <c r="D52" s="163"/>
      <c r="E52" s="11"/>
      <c r="F52" s="113" t="str">
        <f>IF(E52="","",ROUND(IF(E52&gt;=731,1,IF(E52&lt;=0,0,IF(E52&lt;355,E52*'Reference Curves'!$G$6+'Reference Curves'!$G$7,E52*'Reference Curves'!$H$6+'Reference Curves'!$H$7))),2))</f>
        <v/>
      </c>
      <c r="G52" s="454" cm="1">
        <f t="array" ref="G52">IF(OR(F52&lt;&gt;"",F53&lt;&gt;""),AVERAGE(F52:F53), _xlfn.IFS(B41="Secondary",'Functional Loss'!$H$26,B41="Tertiary", 'Functional Loss'!$H$28, TRUE, 'Functional Loss'!$H$23))</f>
        <v>1</v>
      </c>
      <c r="H52" s="464">
        <f>IFERROR(ROUND(AVERAGE(G52:G67),2),"")</f>
        <v>1</v>
      </c>
      <c r="I52" s="459" t="str">
        <f>IF(H52="","",IF(H52&gt;0.69,"Functioning",IF(H52&gt;0.29,"Functioning At Risk",IF(H52&gt;-1,"Not Functioning"))))</f>
        <v>Functioning</v>
      </c>
      <c r="J52" s="483"/>
      <c r="K52" s="5"/>
      <c r="M52" s="4"/>
      <c r="N52" s="4"/>
    </row>
    <row r="53" spans="1:14" s="48" customFormat="1" ht="15.95" customHeight="1" x14ac:dyDescent="0.5">
      <c r="A53" s="469"/>
      <c r="B53" s="463"/>
      <c r="C53" s="160" t="s">
        <v>186</v>
      </c>
      <c r="D53" s="161"/>
      <c r="E53" s="15"/>
      <c r="F53" s="25" t="str">
        <f>IF(E53="","",ROUND(IF(E53&gt;=28,1,IF(E53&lt;16,E53*'Reference Curves'!$G$11+'Reference Curves'!$G$12,E53*'Reference Curves'!$H$11+'Reference Curves'!$H$12)),2))</f>
        <v/>
      </c>
      <c r="G53" s="455"/>
      <c r="H53" s="464"/>
      <c r="I53" s="460"/>
      <c r="J53" s="483"/>
      <c r="K53" s="5"/>
      <c r="M53" s="4"/>
      <c r="N53" s="4"/>
    </row>
    <row r="54" spans="1:14" s="48" customFormat="1" ht="15.95" customHeight="1" x14ac:dyDescent="0.5">
      <c r="A54" s="469"/>
      <c r="B54" s="469" t="s">
        <v>92</v>
      </c>
      <c r="C54" s="106" t="s">
        <v>187</v>
      </c>
      <c r="D54" s="106"/>
      <c r="E54" s="114"/>
      <c r="F54" s="24" t="str">
        <f>IF(E54="","",
ROUND(IF(E54&gt;=0.71,0,
IF(E54&lt;=0.1,1,
IF(E54&lt;=0.2,E54*'Reference Curves'!$I$16+'Reference Curves'!$I$17,
IF(E54&gt;=0.4,E54*'Reference Curves'!$G$16+'Reference Curves'!$G$17,
E54*'Reference Curves'!$H$16+'Reference Curves'!$H$17)))),2))</f>
        <v/>
      </c>
      <c r="G54" s="471" cm="1">
        <f t="array" ref="G54">IF(E57&gt;50,0,IF(OR(F54&lt;&gt;"",F55&lt;&gt;"",F56&lt;&gt;"",F57&lt;&gt;""),AVERAGE(F54:F57),_xlfn.IFS(B41="Secondary",'Functional Loss'!$H$26,B41="Tertiary",'Functional Loss'!$H$28,TRUE,'Functional Loss'!$H$23)))</f>
        <v>1</v>
      </c>
      <c r="H54" s="464"/>
      <c r="I54" s="460"/>
      <c r="J54" s="483"/>
      <c r="K54" s="5"/>
      <c r="M54" s="4"/>
      <c r="N54" s="4"/>
    </row>
    <row r="55" spans="1:14" s="48" customFormat="1" ht="15.95" customHeight="1" x14ac:dyDescent="0.5">
      <c r="A55" s="469"/>
      <c r="B55" s="469"/>
      <c r="C55" s="106" t="s">
        <v>36</v>
      </c>
      <c r="D55" s="106"/>
      <c r="E55" s="115"/>
      <c r="F55" s="8" t="str">
        <f>IF(E55="","",IF(OR(E55="Ex/VL",E55="VH/VL",E55="H/M",E55="H/L",E55="H/VL"),0.2, IF(OR(LEFT(E55,2)="Ex",E55="VH/Ex",E55="VH/VH", E55="VH/H"),0,IF(OR(E55="VH/M",E55="VH/L",E55="H/Ex", E55="H/VH", E55="H/H"),0.1, IF(OR(E55="M/Ex",E55="M/VH"),0.3, IF(E55="M/H",0.4, IF(E55="M/M",0.5, IF(OR(E55="M/L",E55="M/VL"),0.6, IF(E55="L/Ex",0.7, IF(OR(LEFT(E55,1)="L",LEFT(E55,2)="VL"),1))))))))))</f>
        <v/>
      </c>
      <c r="G55" s="471"/>
      <c r="H55" s="464"/>
      <c r="I55" s="460"/>
      <c r="J55" s="483"/>
      <c r="K55" s="5"/>
      <c r="M55" s="4"/>
      <c r="N55" s="4"/>
    </row>
    <row r="56" spans="1:14" s="48" customFormat="1" ht="15.95" customHeight="1" x14ac:dyDescent="0.5">
      <c r="A56" s="469"/>
      <c r="B56" s="469"/>
      <c r="C56" s="164" t="s">
        <v>48</v>
      </c>
      <c r="D56" s="106"/>
      <c r="E56" s="114"/>
      <c r="F56" s="8" t="str">
        <f>IF(E56="","",ROUND(IF(E56&gt;=50,0,IF(E56&lt;=5,1,IF(E56&gt;11,E56*'Reference Curves'!$G$21+'Reference Curves'!$G$22,E56*'Reference Curves'!$H$21+'Reference Curves'!$H$22))),2))</f>
        <v/>
      </c>
      <c r="G56" s="471"/>
      <c r="H56" s="464"/>
      <c r="I56" s="460"/>
      <c r="J56" s="483"/>
      <c r="K56" s="5"/>
      <c r="M56" s="4"/>
      <c r="N56" s="4"/>
    </row>
    <row r="57" spans="1:14" s="48" customFormat="1" ht="15.95" customHeight="1" x14ac:dyDescent="0.5">
      <c r="A57" s="469"/>
      <c r="B57" s="469"/>
      <c r="C57" s="107" t="s">
        <v>124</v>
      </c>
      <c r="D57" s="107"/>
      <c r="E57" s="16"/>
      <c r="F57" s="25" t="str">
        <f>IF(E57="","",ROUND(IF(E57&gt;=30,0,E57*'Reference Curves'!$G$25+'Reference Curves'!$G$26),2))</f>
        <v/>
      </c>
      <c r="G57" s="471"/>
      <c r="H57" s="464"/>
      <c r="I57" s="460"/>
      <c r="J57" s="483"/>
      <c r="K57" s="5"/>
      <c r="M57" s="4"/>
      <c r="N57" s="4"/>
    </row>
    <row r="58" spans="1:14" s="48" customFormat="1" ht="15.95" customHeight="1" x14ac:dyDescent="0.5">
      <c r="A58" s="469"/>
      <c r="B58" s="462" t="s">
        <v>37</v>
      </c>
      <c r="C58" s="108" t="s">
        <v>144</v>
      </c>
      <c r="D58" s="163"/>
      <c r="E58" s="58"/>
      <c r="F58" s="116" t="str">
        <f>IF(E58="","",
IF(AND($G41="Single Family Residential",$G40="&lt; 5 %"),
ROUND(IF(E58&lt;=0,0,IF(E58&gt;=300,1,IF(E58&gt;=50, E58*'Reference Curves'!$H$31 +'Reference Curves'!$H$32,
E58*'Reference Curves'!$G$31 +'Reference Curves'!$G$32))),2),
IF(AND($G41="Single Family Residential",$G40="5 - 20 %"),
ROUND(IF(E58&lt;=0,0,IF(E58&gt;=300,1,IF(E58&gt;=100,E58*'Reference Curves'!$J$31+'Reference Curves'!$J$32,
E58*'Reference Curves'!$I$31+'Reference Curves'!$I$32))),2),
IF(AND($G41="Single Family Residential",$G40="21 - 40 %"),
ROUND(IF(E58&lt;=0,0,IF(E58&gt;=300,1,IF(E58&gt;=150,E58*'Reference Curves'!$L$31+'Reference Curves'!$L$32,
E58*'Reference Curves'!$K$31+'Reference Curves'!$K$32))),2),
IF(AND($G41="Single Family Residential",$G40="&gt; 40 %"),
ROUND(IF(E58&lt;=0,0,IF(E58&gt;=300,1,IF(E58&gt;=200,E58*'Reference Curves'!$N$31+'Reference Curves'!$N$32,
E58*'Reference Curves'!$M$31+'Reference Curves'!$M$32))),2),                           IF(AND($G41="Multi-Family Residential",$G40="&lt; 5 %"),
ROUND(IF(E58&lt;=0,0,IF(E58&gt;=293,1,IF(E58&gt;=60,E58*'Reference Curves'!$H$37+'Reference Curves'!$H$38,
E58*'Reference Curves'!$G$37+'Reference Curves'!$G$38))),2),
IF(AND($G41="Multi-Family Residential",$G40="5 - 20 %"),
ROUND(IF(E58&lt;=0,0,IF(E58&gt;=293,1,IF(E58&gt;=120, E58*'Reference Curves'!$J$37+'Reference Curves'!$J$38,
E58*'Reference Curves'!$I$37+'Reference Curves'!$I$38))),2),
IF(AND($G41="Multi-Family Residential",$G40="21 - 40 %"),
ROUND(IF(E58&lt;=0,0,IF(E58&gt;=300,1, IF(E58&gt;=180, E58*'Reference Curves'!$L$37+'Reference Curves'!$L$38,
E58*'Reference Curves'!$K$37+'Reference Curves'!$K$38))),2),
IF(AND($G41="Multi-Family Residential",$G40="&gt; 40 %"),
ROUND(IF(E58&lt;=0,0,IF(E58&gt;=345,1,E58*'Reference Curves'!$M$37+'Reference Curves'!$M$38)),2),
IF(AND($G41="Commercial / Golf Course / Agriculture / Silviculture", $G40="&lt; 5 %"),
ROUND(IF(E58&lt;=0,0, IF(E58&gt;=300,1, IF(E58&gt;=150,E58*'Reference Curves'!$H$43+'Reference Curves'!$H$44,
E58*'Reference Curves'!$G$43+'Reference Curves'!$G$44))),2),
IF(AND($G41="Commercial / Golf Course / Agriculture / Silviculture", $G40="5 - 20 %"),
ROUND(IF(E58&lt;=0,0, IF(E58&gt;=300,1, IF(E58&gt;=150,E58*'Reference Curves'!$H$43+'Reference Curves'!$H$44,
E58*'Reference Curves'!$G$43+'Reference Curves'!$G$44))),2),
IF(AND($G41="Commercial / Golf Course / Agriculture / Silviculture",$G40="21 - 40 %"),
ROUND(IF(E58&lt;=0,0,IF(E58&gt;=322.5,1, E58*'Reference Curves'!$I$43+'Reference Curves'!$I$44)),2),
IF(AND($G41="Commercial / Golf Course / Agriculture / Silviculture",$G40="&gt; 40 %"),
ROUND(IF(E58&lt;=0,0,IF(E58&gt;=434.7,1,E58*'Reference Curves'!$J$43+'Reference Curves'!$J$44)),2),
                   IF(AND($G41="Industrial / Landfill", $G40="&lt; 5 %"),
ROUND(IF(E58&lt;=0,0,IF(E58&gt;=300,1,IF(E58&gt;=150, E58*'Reference Curves'!$H$49+'Reference Curves'!$H$50,
E58*'Reference Curves'!$G$49+'Reference Curves'!$G$50))),2),
IF(AND($G41="Industrial / Landfill", $G40="5 - 20 %"),
ROUND(IF(E58&lt;=0,0,IF(E58&gt;=357.1,1, E58*'Reference Curves'!$I$49+'Reference Curves'!$I$50)),2),
IF(AND($G41="Industrial / Landfill",$G40="21 - 40 %"),
ROUND(IF(E58&lt;=0,0,IF(E58&gt;=499.9,1, E58*'Reference Curves'!$J$49+'Reference Curves'!$J$50)),2)))))))))))))))))</f>
        <v/>
      </c>
      <c r="G58" s="454" cm="1">
        <f t="array" ref="G58">IF(OR(F58&lt;&gt;"",F59&lt;&gt;"",F60&lt;&gt;"",F61&lt;&gt;"", F62&lt;&gt;"",F63&lt;&gt;""),AVERAGE(F58:F63), _xlfn.IFS(B41="Secondary",'Functional Loss'!$H$26, B41="Tertiary", 'Functional Loss'!$H$28, TRUE, 'Functional Loss'!$H$23))</f>
        <v>1</v>
      </c>
      <c r="H58" s="464"/>
      <c r="I58" s="460"/>
      <c r="J58" s="483"/>
      <c r="K58" s="5"/>
      <c r="M58" s="4"/>
      <c r="N58" s="4"/>
    </row>
    <row r="59" spans="1:14" s="48" customFormat="1" ht="15.95" customHeight="1" x14ac:dyDescent="0.5">
      <c r="A59" s="469"/>
      <c r="B59" s="469"/>
      <c r="C59" s="106" t="s">
        <v>159</v>
      </c>
      <c r="D59" s="165"/>
      <c r="E59" s="32"/>
      <c r="F59" s="117" t="str">
        <f>IF(E59="","",ROUND(IF(E59&gt;=9.3,1,E59*'Reference Curves'!$G$53+'Reference Curves'!$G$54),2))</f>
        <v/>
      </c>
      <c r="G59" s="470"/>
      <c r="H59" s="464"/>
      <c r="I59" s="460"/>
      <c r="J59" s="483"/>
      <c r="K59" s="5"/>
      <c r="M59" s="4"/>
      <c r="N59" s="4"/>
    </row>
    <row r="60" spans="1:14" s="48" customFormat="1" ht="15.95" customHeight="1" x14ac:dyDescent="0.5">
      <c r="A60" s="469"/>
      <c r="B60" s="469"/>
      <c r="C60" s="106" t="s">
        <v>188</v>
      </c>
      <c r="D60" s="165"/>
      <c r="E60" s="32"/>
      <c r="F60" s="117" t="str">
        <f>IF(E60="","",ROUND(IF(AND(E60&gt;=135,E60&lt;=262),1,IF(E60&gt;=366,0.5,IF(E60&lt;135,E60*'Reference Curves'!$G$57+'Reference Curves'!$G$58,E60*'Reference Curves'!$H$57+'Reference Curves'!$H$58))),2))</f>
        <v/>
      </c>
      <c r="G60" s="470"/>
      <c r="H60" s="464"/>
      <c r="I60" s="460"/>
      <c r="J60" s="483"/>
      <c r="K60" s="5"/>
      <c r="M60" s="4"/>
      <c r="N60" s="4"/>
    </row>
    <row r="61" spans="1:14" s="48" customFormat="1" ht="15.95" customHeight="1" x14ac:dyDescent="0.5">
      <c r="A61" s="469"/>
      <c r="B61" s="469"/>
      <c r="C61" s="106" t="s">
        <v>189</v>
      </c>
      <c r="D61" s="165"/>
      <c r="E61" s="32"/>
      <c r="F61" s="117" t="str">
        <f>IF(E61="","",  IF($G$4="&lt; 20 %",ROUND(IF(E61&gt;=566,1,E61*'Reference Curves'!$G$61+'Reference Curves'!$G$62),2)))</f>
        <v/>
      </c>
      <c r="G61" s="470"/>
      <c r="H61" s="464"/>
      <c r="I61" s="460"/>
      <c r="J61" s="483"/>
      <c r="K61" s="5"/>
      <c r="M61" s="4"/>
      <c r="N61" s="4"/>
    </row>
    <row r="62" spans="1:14" s="48" customFormat="1" ht="15.95" customHeight="1" x14ac:dyDescent="0.5">
      <c r="A62" s="469"/>
      <c r="B62" s="469"/>
      <c r="C62" s="106" t="s">
        <v>145</v>
      </c>
      <c r="D62" s="165"/>
      <c r="E62" s="32"/>
      <c r="F62" s="117" t="str">
        <f>IF(E62="","", ROUND(IF(E62&gt;=75,1,E62*'Reference Curves'!$G$65+'Reference Curves'!$G$66),2))</f>
        <v/>
      </c>
      <c r="G62" s="470"/>
      <c r="H62" s="464"/>
      <c r="I62" s="460"/>
      <c r="J62" s="483"/>
      <c r="K62" s="5"/>
      <c r="M62" s="4"/>
      <c r="N62" s="4"/>
    </row>
    <row r="63" spans="1:14" s="48" customFormat="1" ht="15.95" customHeight="1" x14ac:dyDescent="0.5">
      <c r="A63" s="469"/>
      <c r="B63" s="469"/>
      <c r="C63" s="106" t="s">
        <v>190</v>
      </c>
      <c r="D63" s="165"/>
      <c r="E63" s="32"/>
      <c r="F63" s="117" t="str">
        <f>IF(E63="","",IF(E63&gt;=100,0,ROUND(IF(E63&lt;=0,1,E63*'Reference Curves'!$G$69+'Reference Curves'!$G$70),2)))</f>
        <v/>
      </c>
      <c r="G63" s="470"/>
      <c r="H63" s="464"/>
      <c r="I63" s="460"/>
      <c r="J63" s="483"/>
      <c r="K63" s="5"/>
      <c r="M63" s="4"/>
      <c r="N63" s="4"/>
    </row>
    <row r="64" spans="1:14" s="48" customFormat="1" ht="15.95" customHeight="1" x14ac:dyDescent="0.5">
      <c r="A64" s="469"/>
      <c r="B64" s="463"/>
      <c r="C64" s="106" t="s">
        <v>191</v>
      </c>
      <c r="D64" s="165"/>
      <c r="E64" s="32"/>
      <c r="F64" s="117"/>
      <c r="G64" s="455"/>
      <c r="H64" s="464"/>
      <c r="I64" s="460"/>
      <c r="J64" s="483"/>
      <c r="K64" s="5"/>
      <c r="M64" s="4"/>
      <c r="N64" s="4"/>
    </row>
    <row r="65" spans="1:14" s="48" customFormat="1" ht="15.95" customHeight="1" x14ac:dyDescent="0.5">
      <c r="A65" s="469"/>
      <c r="B65" s="462" t="s">
        <v>38</v>
      </c>
      <c r="C65" s="108" t="s">
        <v>192</v>
      </c>
      <c r="D65" s="163"/>
      <c r="E65" s="11"/>
      <c r="F65" s="24" t="str">
        <f>IF(E65="","",
IF($D42="Bc", ROUND(IF(E65&lt;=5,1,
IF(E65&gt;=8,0,
IF(E65&lt;6,E65*'Reference Curves'!$G$79+'Reference Curves'!$G$80,E65*'Reference Curves'!$H$79+'Reference Curves'!$H$80))),2),       IF(OR(LEFT($D42,1)="B",LEFT($D42,1)="A"),
ROUND(IF(E65&lt;=4,1,
IF(E65&gt;=6.5,0,
IF(E65&lt;5,E65*'Reference Curves'!$G$74+'Reference Curves'!$G$75, E65*'Reference Curves'!$H$74+'Reference Curves'!$H$75))),2),   IF(OR(LEFT($D42,1)="E",LEFT($D42,1)="C"),
ROUND(IF(OR(E65&gt;=9,E65&lt;=1),0,
IF(AND(E65&gt;=3.5,E65&lt;=6),1,
IF(E65&lt;3.5,E65*'Reference Curves'!$G$84+'Reference Curves'!$G$85,
E65*'Reference Curves'!$H$84+'Reference Curves'!$H$85))),2)))))</f>
        <v/>
      </c>
      <c r="G65" s="454" cm="1">
        <f t="array" ref="G65">IF(OR(D42="D",D42="DA"),"",IF(OR(F65&lt;&gt;"",F66&lt;&gt;"",F67&lt;&gt;""),AVERAGE(F65:F67),_xlfn.IFS(B41="Secondary",'Functional Loss'!$H$26,B41="Tertiary",'Functional Loss'!$H$28,TRUE,'Functional Loss'!$H$23)))</f>
        <v>1</v>
      </c>
      <c r="H65" s="464"/>
      <c r="I65" s="460"/>
      <c r="J65" s="483"/>
      <c r="K65" s="5"/>
      <c r="M65" s="4"/>
      <c r="N65" s="4"/>
    </row>
    <row r="66" spans="1:14" s="48" customFormat="1" ht="15.95" customHeight="1" x14ac:dyDescent="0.5">
      <c r="A66" s="469"/>
      <c r="B66" s="469"/>
      <c r="C66" s="106" t="s">
        <v>193</v>
      </c>
      <c r="D66" s="165"/>
      <c r="E66" s="14"/>
      <c r="F66" s="8" t="str">
        <f>IF(E66="","",IF(LEFT($D42,1)="A",
IF(E66&gt;=1.7,1,
IF(E66&lt;=1,0,
ROUND(IF(E66&lt;=1.1,'Reference Curves'!$G$89+'Reference Curves'!$G$90,
(IF(E66&gt;=1.4,E66*'Reference Curves'!$I$89+'Reference Curves'!$I$90,
E66*'Reference Curves'!$H$89+'Reference Curves'!$H$90))),2))),            IF(LEFT($D42,1)="B",
IF(E66&gt;=2.9,1,
IF(E66&lt;=1,0,
ROUND(IF(E66&lt;=2,E66*'Reference Curves'!$G$94+'Reference Curves'!$G$95,
(IF(E66&gt;=2.3,E66*'Reference Curves'!$I$94+'Reference Curves'!$I$95,
E66*'Reference Curves'!$H$94+'Reference Curves'!$H$95))),2))),     IF(LEFT($D42,1)="C",
IF(E66&gt;=2.3,1,
IF(E66&lt;=1,0,
ROUND(IF(E66&lt;=1.2,E66*'Reference Curves'!$G$99+'Reference Curves'!$G$100,
IF(E66&gt;=1.9, E66*'Reference Curves'!$I$99+'Reference Curves'!$I$100,
E66*'Reference Curves'!$H$99+'Reference Curves'!$H$100)),2))),          IF(LEFT($D42,1)="E",
IF(E66&gt;=2.1,1,
IF(E66&lt;=1,0,
ROUND(IF(E66&gt;=1.7, E66*'Reference Curves'!$I$104+'Reference Curves'!$I$105, IF(E66&lt;=1.4,
E66*'Reference Curves'!$G$104+'Reference Curves'!$G$105,E66*'Reference Curves'!$H$104+'Reference Curves'!$H$105)),2))))))))</f>
        <v/>
      </c>
      <c r="G66" s="470"/>
      <c r="H66" s="464"/>
      <c r="I66" s="460"/>
      <c r="J66" s="483"/>
      <c r="K66" s="5"/>
      <c r="M66" s="4"/>
      <c r="N66" s="4"/>
    </row>
    <row r="67" spans="1:14" s="48" customFormat="1" ht="15.95" customHeight="1" x14ac:dyDescent="0.5">
      <c r="A67" s="469"/>
      <c r="B67" s="463"/>
      <c r="C67" s="109" t="s">
        <v>80</v>
      </c>
      <c r="D67" s="161"/>
      <c r="E67" s="14"/>
      <c r="F67" s="118" t="str">
        <f>IF(E67="","",IF(OR(LEFT($D42,1)="F",LEFT($D42,1)="G",LEFT($D42,1)="D"),"FALSE",
IF(LEFT($D42,1)="A",
ROUND(IF(OR(E67&gt;=100,E67&lt;=0),0,IF(E67&lt;=54,E67*'Reference Curves'!$G$109+'Reference Curves'!$G$110,
IF(E67&gt;=62,E67*'Reference Curves'!$H$109+'Reference Curves'!$H$110,1))),2),IF(LEFT($D42,1)="B",
ROUND(IF(OR(E67&gt;=100,E67&lt;=0),0,IF(E67&lt;=53,E67*'Reference Curves'!$G$114+'Reference Curves'!$G$115,
IF(E67&gt;=61,E67*'Reference Curves'!$H$114+'Reference Curves'!$H$115,1))),2),
IF(LEFT($D42,1)="C",
ROUND(IF(OR(E67&gt;=100,E67&lt;=0),0,
IF(E67&lt;45,E67*'Reference Curves'!$G$119+'Reference Curves'!$G$120,
IF(E67&gt;=64,E67*'Reference Curves'!$H$119+'Reference Curves'!$H$120,1))),2),
IF(LEFT($D42,1)="E",
ROUND(IF(OR(E67&gt;=100,E67&lt;=0),0,
IF(E67&lt;43,E67*'Reference Curves'!$G$124+'Reference Curves'!$G$125,
IF(E67&gt;=63,E67*'Reference Curves'!$H$124+'Reference Curves'!$H$125,1))),2),))))))</f>
        <v/>
      </c>
      <c r="G67" s="470"/>
      <c r="H67" s="464"/>
      <c r="I67" s="461"/>
      <c r="J67" s="483"/>
      <c r="K67" s="5"/>
      <c r="N67" s="4"/>
    </row>
    <row r="68" spans="1:14" s="48" customFormat="1" ht="15.95" customHeight="1" x14ac:dyDescent="0.5">
      <c r="A68" s="485" t="s">
        <v>40</v>
      </c>
      <c r="B68" s="249" t="s">
        <v>103</v>
      </c>
      <c r="C68" s="267" t="s">
        <v>235</v>
      </c>
      <c r="D68" s="98"/>
      <c r="E68" s="26"/>
      <c r="F68" s="119" t="str">
        <f>IF(E68="","",IF($G43="Coldwater",IF(E68&gt;=77,0,IF(E68&lt;=58.04,1,ROUND(E68*'Reference Curves'!$P$6+'Reference Curves'!$P$7,2)))))</f>
        <v/>
      </c>
      <c r="G68" s="120" cm="1">
        <f t="array" ref="G68">IF(G43="Warmwater","", IF(F68&lt;&gt;"",AVERAGE(F68),_xlfn.IFS(B41="Secondary",'Functional Loss'!$H$26,B41="Tertiary",'Functional Loss'!$H$28,TRUE,'Functional Loss'!$H$23)))</f>
        <v>1</v>
      </c>
      <c r="H68" s="465">
        <f>IFERROR(ROUND(AVERAGE(G68:G73),2),"")</f>
        <v>1</v>
      </c>
      <c r="I68" s="480" t="str">
        <f>IF(H68="","",IF(H68&gt;0.69,"Functioning",IF(H68&gt;0.29,"Functioning At Risk",IF(H68&gt;-1,"Not Functioning"))))</f>
        <v>Functioning</v>
      </c>
      <c r="J68" s="483"/>
      <c r="K68" s="5"/>
      <c r="N68" s="4"/>
    </row>
    <row r="69" spans="1:14" s="48" customFormat="1" ht="15.95" customHeight="1" x14ac:dyDescent="0.5">
      <c r="A69" s="486"/>
      <c r="B69" s="81" t="s">
        <v>127</v>
      </c>
      <c r="C69" s="268" t="s">
        <v>370</v>
      </c>
      <c r="D69" s="99"/>
      <c r="E69" s="26"/>
      <c r="F69" s="119" t="str">
        <f>IF(E69="","",
ROUND(IF(E69&gt;='Reference Curves'!$P$16,0,
IF(E69&lt;=35,1,
IF(E69&gt;=121,E69*'Reference Curves'!$P$11+'Reference Curves'!$P$12,
E69*'Reference Curves'!$Q$11+'Reference Curves'!$Q$12))),2))</f>
        <v/>
      </c>
      <c r="G69" s="119" cm="1">
        <f t="array" ref="G69">IF(F69&lt;&gt;"",AVERAGE(F69),_xlfn.IFS(B41="Secondary",'Functional Loss'!$H$26,B41="Tertiary", 'Functional Loss'!$H$28, TRUE, 'Functional Loss'!$H$23))</f>
        <v>1</v>
      </c>
      <c r="H69" s="488"/>
      <c r="I69" s="489"/>
      <c r="J69" s="483"/>
      <c r="K69" s="5"/>
      <c r="N69" s="4"/>
    </row>
    <row r="70" spans="1:14" s="48" customFormat="1" ht="15.95" customHeight="1" x14ac:dyDescent="0.5">
      <c r="A70" s="486"/>
      <c r="B70" s="100" t="s">
        <v>196</v>
      </c>
      <c r="C70" s="100" t="s">
        <v>197</v>
      </c>
      <c r="D70" s="101"/>
      <c r="E70" s="14"/>
      <c r="F70" s="119" t="str">
        <f>IF(E70="","",
IF(E70&gt;=2.3,0,
IF(E70&lt;=0.4,1,
ROUND(IF(E70&lt;0.8,E70*'Reference Curves'!$Q$21+'Reference Curves'!$Q$22,E70*'Reference Curves'!$P$21+'Reference Curves'!$P$22),2))))</f>
        <v/>
      </c>
      <c r="G70" s="119" cm="1">
        <f t="array" ref="G70">IF(F70&lt;&gt;"",AVERAGE(F70),_xlfn.IFS(B41="Secondary",'Functional Loss'!$H$26, B41="Tertiary", 'Functional Loss'!$H$28, TRUE, 'Functional Loss'!$H$23))</f>
        <v>1</v>
      </c>
      <c r="H70" s="488"/>
      <c r="I70" s="489"/>
      <c r="J70" s="483"/>
      <c r="K70" s="5"/>
      <c r="N70" s="4"/>
    </row>
    <row r="71" spans="1:14" s="48" customFormat="1" ht="15.95" customHeight="1" x14ac:dyDescent="0.5">
      <c r="A71" s="486"/>
      <c r="B71" s="100" t="s">
        <v>198</v>
      </c>
      <c r="C71" s="263" t="s">
        <v>199</v>
      </c>
      <c r="D71" s="269"/>
      <c r="E71" s="11"/>
      <c r="F71" s="119" t="str">
        <f>IF(E71="","",
IF(E71&gt;=0.2,0,
IF(E71&lt;=0.04,1,
ROUND(IF(E71&lt;0.08,E71*'Reference Curves'!$Q$26+'Reference Curves'!$Q$27,
E71*'Reference Curves'!$P$26+'Reference Curves'!$P$27),2))))</f>
        <v/>
      </c>
      <c r="G71" s="119" cm="1">
        <f t="array" ref="G71">IF(F71&lt;&gt;"",AVERAGE(F71),_xlfn.IFS(B41="Secondary",'Functional Loss'!$H$26, B41="Tertiary", 'Functional Loss'!$H$28, TRUE, 'Functional Loss'!$H$23))</f>
        <v>1</v>
      </c>
      <c r="H71" s="488"/>
      <c r="I71" s="489"/>
      <c r="J71" s="483"/>
      <c r="K71" s="5"/>
      <c r="N71" s="4"/>
    </row>
    <row r="72" spans="1:14" s="48" customFormat="1" ht="15.95" customHeight="1" x14ac:dyDescent="0.5">
      <c r="A72" s="486"/>
      <c r="B72" s="490" t="s">
        <v>371</v>
      </c>
      <c r="C72" s="263" t="s">
        <v>372</v>
      </c>
      <c r="D72" s="270"/>
      <c r="E72" s="271"/>
      <c r="F72" s="119" t="str">
        <f>IF(E72="","",
IF(E72&gt;=100,0,
IF(E72&lt;=10,1,
ROUND(IF(E72&lt;50,E72*'Reference Curves'!$Q$32+'Reference Curves'!$Q$33,
E72*'Reference Curves'!$P$32+'Reference Curves'!$P$33),2)
)))</f>
        <v/>
      </c>
      <c r="G72" s="465" cm="1">
        <f t="array" ref="G72">IF(OR(F72&lt;&gt;"",F73&lt;&gt;""),AVERAGE(F72:F73), _xlfn.IFS(B41="Secondary",'Functional Loss'!$H$26,B41="Tertiary", 'Functional Loss'!$H$28, TRUE, 'Functional Loss'!$H$23))</f>
        <v>1</v>
      </c>
      <c r="H72" s="488"/>
      <c r="I72" s="489"/>
      <c r="J72" s="483"/>
      <c r="K72" s="5"/>
      <c r="N72" s="4"/>
    </row>
    <row r="73" spans="1:14" ht="15.95" customHeight="1" x14ac:dyDescent="0.5">
      <c r="A73" s="487"/>
      <c r="B73" s="491"/>
      <c r="C73" s="266" t="s">
        <v>373</v>
      </c>
      <c r="D73" s="264"/>
      <c r="E73" s="16"/>
      <c r="F73" s="265" t="str">
        <f>IF(E73="","",
IF(E73&gt;=100,0,
IF(E73&lt;=10,1,
ROUND(IF(E73&lt;50,E73*'Reference Curves'!$Q$32+'Reference Curves'!$Q$33,
E73*'Reference Curves'!$P$32+'Reference Curves'!$P$33),2)
)))</f>
        <v/>
      </c>
      <c r="G73" s="466"/>
      <c r="H73" s="466"/>
      <c r="I73" s="481"/>
      <c r="J73" s="483"/>
    </row>
    <row r="74" spans="1:14" s="48" customFormat="1" ht="15.95" customHeight="1" x14ac:dyDescent="0.5">
      <c r="A74" s="476" t="s">
        <v>41</v>
      </c>
      <c r="B74" s="211" t="s">
        <v>81</v>
      </c>
      <c r="C74" s="56" t="s">
        <v>200</v>
      </c>
      <c r="D74" s="57"/>
      <c r="E74" s="273"/>
      <c r="F74" s="274" t="str">
        <f>IF(E74="","",
IF($D40="Blue Ridge Mountains",
ROUND(IF(E74&lt;=0,0,
IF(E74&gt;=36,1,
IF(E74&lt;=19,E74*'Reference Curves'!$S$6+'Reference Curves'!$S$7,
IF(E74&gt;=28, E74*'Reference Curves'!$U$6+'Reference Curves'!$U$7,
E74*'Reference Curves'!$T$6+'Reference Curves'!$T$7 )))),2),
IF($D40="Piedmont",
ROUND(IF(E74&lt;=0,0,
IF(E74&gt;=28,1,
IF(E74&lt;=14,E74*'Reference Curves'!$S$11+'Reference Curves'!$S$12,
IF(E74&gt;=21, E74*'Reference Curves'!$U$11+'Reference Curves'!$U$12,
E74*'Reference Curves'!$T$11+'Reference Curves'!$T$12)))),2),
IF(OR($D40="Southeastern Plains",$D40="Middle Atlantic Coastal Plain"),
ROUND(IF(E74&lt;=0,0,
IF(E74&gt;=15,1,
IF(E74&lt;=5, E74*'Reference Curves'!$S$16+'Reference Curves'!$S$17,
IF(E74&gt;=10,E74*'Reference Curves'!$U$16+'Reference Curves'!$U$17,
E74*'Reference Curves'!$T$16+'Reference Curves'!$T$17)))),2)))))</f>
        <v/>
      </c>
      <c r="G74" s="272" cm="1">
        <f t="array" ref="G74">IF(F74&lt;&gt;"",AVERAGE(F74),_xlfn.IFS(B41="Secondary",'Functional Loss'!$H$26, B41="Tertiary", 'Functional Loss'!$H$28, TRUE, 'Functional Loss'!$H$23))</f>
        <v>1</v>
      </c>
      <c r="H74" s="478">
        <f>IFERROR(ROUND(AVERAGE(G74:G75),2),"")</f>
        <v>1</v>
      </c>
      <c r="I74" s="480" t="str">
        <f>IF(H74="","",IF(H74&gt;0.69,"Functioning",IF(H74&gt;0.29,"Functioning At Risk",IF(H74&gt;-1,"Not Functioning"))))</f>
        <v>Functioning</v>
      </c>
      <c r="J74" s="483"/>
    </row>
    <row r="75" spans="1:14" s="48" customFormat="1" ht="15.95" customHeight="1" x14ac:dyDescent="0.5">
      <c r="A75" s="477"/>
      <c r="B75" s="211" t="s">
        <v>45</v>
      </c>
      <c r="C75" s="57" t="s">
        <v>374</v>
      </c>
      <c r="D75" s="57"/>
      <c r="E75" s="275"/>
      <c r="F75" s="210" t="str">
        <f>IF(E75="","",
IF($G44="1 - Upland Santee/Pee-Dee Basin",
IF(E75&lt;-1,0,
IF(E75&gt;1,1,
ROUND(IF(E75&gt;=0.05,E75*'Reference Curves'!$T$21+'Reference Curves'!$T$22,
E75*'Reference Curves'!$S$21+'Reference Curves'!$S$22),2))),
IF($G44="2 - Upland Savannah",
IF(E75&lt;-1,0,
IF(E75&gt;1,1,
ROUND(IF(E75&gt;=0.002,E75*'Reference Curves'!$T$26+'Reference Curves'!$T$27,
E75*'Reference Curves'!$S$26+'Reference Curves'!$S$27),2))),
IF($G44="3 - Lowland Perennial",
IF(E75&lt;-1,0,
IF(E75&gt;1,1,
ROUND(IF(E75&gt;=0.005,E75*'Reference Curves'!$T$31+'Reference Curves'!$T$32,
E75*'Reference Curves'!$S$31+'Reference Curves'!$S$32),2))),
IF($G44="4 - Lowland Stable Baseflow",
IF(E75&lt;-1,0,
IF(E75&gt;1,1,
ROUND(IF(E75&gt;=0.3,E75*'Reference Curves'!$T$36+'Reference Curves'!$T$37,
E75*'Reference Curves'!$S$36+'Reference Curves'!$S$37),2))))))))</f>
        <v/>
      </c>
      <c r="G75" s="120" cm="1">
        <f t="array" ref="G75">IF(F75&lt;&gt;"",AVERAGE(F75),_xlfn.IFS(B41="Secondary",'Functional Loss'!$H$26, B41="Tertiary", 'Functional Loss'!$H$28, TRUE, 'Functional Loss'!$H$23))</f>
        <v>1</v>
      </c>
      <c r="H75" s="479"/>
      <c r="I75" s="481"/>
      <c r="J75" s="484"/>
    </row>
    <row r="76" spans="1:14" s="48" customFormat="1" ht="14.1" customHeight="1" x14ac:dyDescent="0.45">
      <c r="I76" s="27"/>
    </row>
    <row r="77" spans="1:14" s="48" customFormat="1" ht="30" customHeight="1" x14ac:dyDescent="0.65">
      <c r="A77" s="500" t="s">
        <v>395</v>
      </c>
      <c r="B77" s="501"/>
      <c r="C77" s="501"/>
      <c r="D77" s="501"/>
      <c r="E77" s="501"/>
      <c r="F77" s="501"/>
      <c r="G77" s="501"/>
      <c r="H77" s="501"/>
      <c r="I77" s="501"/>
      <c r="J77" s="502"/>
    </row>
    <row r="78" spans="1:14" ht="28.9" customHeight="1" x14ac:dyDescent="0.45">
      <c r="A78" s="121" t="s">
        <v>59</v>
      </c>
      <c r="B78" s="122">
        <f>'Project Summary'!$A12</f>
        <v>0</v>
      </c>
      <c r="C78" s="282" t="s">
        <v>146</v>
      </c>
      <c r="D78" s="283"/>
      <c r="E78" s="59" t="s">
        <v>236</v>
      </c>
      <c r="F78" s="121"/>
      <c r="G78" s="467"/>
      <c r="H78" s="468"/>
      <c r="I78" s="127" t="s">
        <v>95</v>
      </c>
      <c r="J78" s="123"/>
    </row>
    <row r="79" spans="1:14" ht="28.9" customHeight="1" x14ac:dyDescent="0.45">
      <c r="A79" s="121" t="s">
        <v>201</v>
      </c>
      <c r="B79" s="122">
        <f>'Project Summary'!D12</f>
        <v>0</v>
      </c>
      <c r="C79" s="282" t="s">
        <v>60</v>
      </c>
      <c r="D79" s="284"/>
      <c r="E79" s="59" t="s">
        <v>237</v>
      </c>
      <c r="F79" s="124"/>
      <c r="G79" s="467"/>
      <c r="H79" s="468"/>
      <c r="I79" s="127" t="s">
        <v>96</v>
      </c>
      <c r="J79" s="123"/>
    </row>
    <row r="80" spans="1:14" ht="28.9" customHeight="1" x14ac:dyDescent="0.45">
      <c r="A80" s="121" t="s">
        <v>316</v>
      </c>
      <c r="B80" s="122">
        <f>'Functional Loss'!D11</f>
        <v>0</v>
      </c>
      <c r="C80" s="282" t="s">
        <v>94</v>
      </c>
      <c r="D80" s="284"/>
      <c r="E80" s="503" t="s">
        <v>346</v>
      </c>
      <c r="F80" s="504"/>
      <c r="G80" s="467"/>
      <c r="H80" s="468"/>
      <c r="I80" s="127" t="s">
        <v>97</v>
      </c>
      <c r="J80" s="123"/>
    </row>
    <row r="81" spans="1:10" ht="28.9" customHeight="1" x14ac:dyDescent="0.45">
      <c r="A81" s="95" t="s">
        <v>392</v>
      </c>
      <c r="B81" s="122">
        <f>'Project Summary'!C12</f>
        <v>0</v>
      </c>
      <c r="C81" s="282" t="s">
        <v>73</v>
      </c>
      <c r="D81" s="284"/>
      <c r="E81" s="59" t="s">
        <v>147</v>
      </c>
      <c r="F81" s="126"/>
      <c r="G81" s="467"/>
      <c r="H81" s="468"/>
      <c r="I81" s="127" t="s">
        <v>98</v>
      </c>
      <c r="J81" s="123"/>
    </row>
    <row r="82" spans="1:10" ht="31.5" customHeight="1" x14ac:dyDescent="0.45">
      <c r="A82" s="59" t="s">
        <v>148</v>
      </c>
      <c r="B82" s="122">
        <f>'Project Summary'!B12</f>
        <v>0</v>
      </c>
      <c r="C82" s="282" t="s">
        <v>396</v>
      </c>
      <c r="D82" s="123"/>
      <c r="E82" s="472" t="s">
        <v>355</v>
      </c>
      <c r="F82" s="472"/>
      <c r="G82" s="467"/>
      <c r="H82" s="468"/>
      <c r="I82" s="121" t="s">
        <v>226</v>
      </c>
      <c r="J82" s="197"/>
    </row>
    <row r="83" spans="1:10" ht="28.5" customHeight="1" x14ac:dyDescent="0.65">
      <c r="A83" s="473" t="s">
        <v>39</v>
      </c>
      <c r="B83" s="473"/>
      <c r="C83" s="473"/>
      <c r="D83" s="473"/>
      <c r="E83" s="473"/>
      <c r="F83" s="473"/>
      <c r="G83" s="336" t="s">
        <v>348</v>
      </c>
      <c r="H83" s="336"/>
      <c r="I83" s="336"/>
      <c r="J83" s="336"/>
    </row>
    <row r="84" spans="1:10" ht="15.75" x14ac:dyDescent="0.5">
      <c r="A84" s="12" t="s">
        <v>1</v>
      </c>
      <c r="B84" s="12" t="s">
        <v>166</v>
      </c>
      <c r="C84" s="474" t="s">
        <v>165</v>
      </c>
      <c r="D84" s="475"/>
      <c r="E84" s="12" t="s">
        <v>8</v>
      </c>
      <c r="F84" s="171" t="s">
        <v>9</v>
      </c>
      <c r="G84" s="12" t="s">
        <v>10</v>
      </c>
      <c r="H84" s="12" t="s">
        <v>11</v>
      </c>
      <c r="I84" s="28" t="s">
        <v>11</v>
      </c>
      <c r="J84" s="12" t="s">
        <v>82</v>
      </c>
    </row>
    <row r="85" spans="1:10" ht="15.95" customHeight="1" x14ac:dyDescent="0.5">
      <c r="A85" s="492" t="s">
        <v>42</v>
      </c>
      <c r="B85" s="494" t="s">
        <v>65</v>
      </c>
      <c r="C85" s="166" t="s">
        <v>181</v>
      </c>
      <c r="D85" s="102"/>
      <c r="E85" s="11"/>
      <c r="F85" s="110" t="str">
        <f>IF(E85="","",IF(E85&gt;78,0,IF(E85&lt;55,1,ROUND(E85*'Reference Curves'!$B$6+'Reference Curves'!$B$7,2))))</f>
        <v/>
      </c>
      <c r="G85" s="454" cm="1">
        <f t="array" ref="G85">IF(OR(F85&lt;&gt;"",F86&lt;&gt;""),AVERAGE(F85:F86),_xlfn.IFS(B79="Secondary",'Functional Loss'!$H$26,B79="Tertiary",'Functional Loss'!$H$28,TRUE,'Functional Loss'!$H$23))</f>
        <v>1</v>
      </c>
      <c r="H85" s="496">
        <f>IFERROR(ROUND(AVERAGE(G85),2),"")</f>
        <v>1</v>
      </c>
      <c r="I85" s="498" t="str">
        <f>IF(H85="","",IF(H85&gt;0.69,"Functioning",IF(H85&gt;0.29,"Functioning At Risk",IF(H85&gt;-1,"Not Functioning"))))</f>
        <v>Functioning</v>
      </c>
      <c r="J85" s="482">
        <f>IF(AND(H85="",H87="",H90="",H106="",H112=""),"",ROUND((IF(H85="",0,H85)*0.2)+(IF(H87="",0,H87)*0.2)+(IF(H90="",0,H90)*0.2)+(IF(H106="",0,H106)*0.2)+(IF(H112="",0,H112)*0.2),2))</f>
        <v>1</v>
      </c>
    </row>
    <row r="86" spans="1:10" ht="15.95" customHeight="1" x14ac:dyDescent="0.5">
      <c r="A86" s="493"/>
      <c r="B86" s="495"/>
      <c r="C86" s="167" t="s">
        <v>143</v>
      </c>
      <c r="D86" s="103"/>
      <c r="E86" s="15"/>
      <c r="F86" s="111" t="str">
        <f>IF(E86="","",IF(E86&gt;3.33,0,IF(E86=0,1,ROUND(E86*'Reference Curves'!$B$10+'Reference Curves'!$B$11,2))))</f>
        <v/>
      </c>
      <c r="G86" s="455"/>
      <c r="H86" s="497"/>
      <c r="I86" s="498"/>
      <c r="J86" s="483"/>
    </row>
    <row r="87" spans="1:10" ht="15.95" customHeight="1" x14ac:dyDescent="0.5">
      <c r="A87" s="499" t="s">
        <v>2</v>
      </c>
      <c r="B87" s="452" t="s">
        <v>3</v>
      </c>
      <c r="C87" s="104" t="s">
        <v>182</v>
      </c>
      <c r="D87" s="104"/>
      <c r="E87" s="14"/>
      <c r="F87" s="60" t="str">
        <f>IF(E87="","",ROUND(IF(OR(E87&gt;1.71,E87&lt;0.34),0,IF(E87&lt;=1,1,E87*'Reference Curves'!$D$5+'Reference Curves'!$D$6)),2))</f>
        <v/>
      </c>
      <c r="G87" s="454" cm="1">
        <f t="array" ref="G87">IF(OR(F87&lt;&gt;"",F88&lt;&gt;""),AVERAGE(F87:F88), _xlfn.IFS(B79="Secondary",'Functional Loss'!$H$26,B79="Tertiary", 'Functional Loss'!$H$28, TRUE, 'Functional Loss'!$H$23))</f>
        <v>1</v>
      </c>
      <c r="H87" s="456">
        <f>IFERROR(ROUND(AVERAGE(G87:G89),2),"")</f>
        <v>1</v>
      </c>
      <c r="I87" s="459" t="str">
        <f>IF(H87="","",IF(H87&gt;0.69,"Functioning",IF(H87&gt;0.29,"Functioning At Risk",IF(H87&gt;-1,"Not Functioning"))))</f>
        <v>Functioning</v>
      </c>
      <c r="J87" s="483"/>
    </row>
    <row r="88" spans="1:10" ht="15.95" customHeight="1" x14ac:dyDescent="0.5">
      <c r="A88" s="452"/>
      <c r="B88" s="453"/>
      <c r="C88" s="105" t="s">
        <v>183</v>
      </c>
      <c r="D88" s="105"/>
      <c r="E88" s="15"/>
      <c r="F88" s="112" t="str">
        <f>IF(E88="","",
IF(LEFT($D80,1)="C",
ROUND(IF(E88&gt;=7.3,1,
IF(E88&lt;=1,0,
IF(E88&lt;=2.2, E88*'Reference Curves'!$D$10+'Reference Curves'!$D$11, E88*'Reference Curves'!$E$10+'Reference Curves'!$E$11))),2),
IF(LEFT($D80,1)="B",
ROUND(IF(E88&gt;=2,1,
IF(E88&lt;=1,0,
IF(E88&lt;=1.4,E88*'Reference Curves'!$D$20+'Reference Curves'!$D$21,E88*'Reference Curves'!$E$20+'Reference Curves'!$E$21))),2), IF(OR(LEFT($D80,1)="E"), ROUND(IF(E88&gt;=10,1,
IF(E88&lt;=1,0,
IF(E88&lt;=2.2,  E88*'Reference Curves'!$D$15+'Reference Curves'!$D$16,
E88*'Reference Curves'!$E$15+'Reference Curves'!$E$16))),2)))))</f>
        <v/>
      </c>
      <c r="G88" s="455"/>
      <c r="H88" s="457"/>
      <c r="I88" s="460"/>
      <c r="J88" s="483"/>
    </row>
    <row r="89" spans="1:10" ht="15.95" customHeight="1" x14ac:dyDescent="0.5">
      <c r="A89" s="453"/>
      <c r="B89" s="248" t="s">
        <v>184</v>
      </c>
      <c r="C89" s="104" t="s">
        <v>185</v>
      </c>
      <c r="D89" s="104"/>
      <c r="E89" s="14"/>
      <c r="F89" s="60" t="str">
        <f>IF(E89="","",(IF(E89&gt;=1.8,0,  IF(E89=1,1,ROUND(IF(E89&gt;1,E89*'Reference Curves'!$E$25+'Reference Curves'!$E$26, IF(E87&gt;1.2, IF(E89&lt;=0.2,0,E89*'Reference Curves'!$D$25+'Reference Curves'!$D$26),1)),2)))))</f>
        <v/>
      </c>
      <c r="G89" s="120" cm="1">
        <f t="array" ref="G89">IF(OR(D80="D",D80="DA"),"",IF(F89&lt;&gt;"",IFERROR(AVERAGE(F89),""),_xlfn.IFS(B79="Secondary",'Functional Loss'!$H$26, B79="Tertiary", 'Functional Loss'!$H$28, TRUE, 'Functional Loss'!$H$23)))</f>
        <v>1</v>
      </c>
      <c r="H89" s="458"/>
      <c r="I89" s="461"/>
      <c r="J89" s="483"/>
    </row>
    <row r="90" spans="1:10" ht="15.95" customHeight="1" x14ac:dyDescent="0.5">
      <c r="A90" s="462" t="s">
        <v>14</v>
      </c>
      <c r="B90" s="462" t="s">
        <v>15</v>
      </c>
      <c r="C90" s="162" t="s">
        <v>13</v>
      </c>
      <c r="D90" s="163"/>
      <c r="E90" s="11"/>
      <c r="F90" s="113" t="str">
        <f>IF(E90="","",ROUND(IF(E90&gt;=731,1,IF(E90&lt;=0,0,IF(E90&lt;355,E90*'Reference Curves'!$G$6+'Reference Curves'!$G$7,E90*'Reference Curves'!$H$6+'Reference Curves'!$H$7))),2))</f>
        <v/>
      </c>
      <c r="G90" s="454" cm="1">
        <f t="array" ref="G90">IF(OR(F90&lt;&gt;"",F91&lt;&gt;""),AVERAGE(F90:F91), _xlfn.IFS(B79="Secondary",'Functional Loss'!$H$26,B79="Tertiary", 'Functional Loss'!$H$28, TRUE, 'Functional Loss'!$H$23))</f>
        <v>1</v>
      </c>
      <c r="H90" s="464">
        <f>IFERROR(ROUND(AVERAGE(G90:G105),2),"")</f>
        <v>1</v>
      </c>
      <c r="I90" s="459" t="str">
        <f>IF(H90="","",IF(H90&gt;0.69,"Functioning",IF(H90&gt;0.29,"Functioning At Risk",IF(H90&gt;-1,"Not Functioning"))))</f>
        <v>Functioning</v>
      </c>
      <c r="J90" s="483"/>
    </row>
    <row r="91" spans="1:10" ht="15.95" customHeight="1" x14ac:dyDescent="0.5">
      <c r="A91" s="469"/>
      <c r="B91" s="463"/>
      <c r="C91" s="160" t="s">
        <v>186</v>
      </c>
      <c r="D91" s="161"/>
      <c r="E91" s="15"/>
      <c r="F91" s="25" t="str">
        <f>IF(E91="","",ROUND(IF(E91&gt;=28,1,IF(E91&lt;16,E91*'Reference Curves'!$G$11+'Reference Curves'!$G$12,E91*'Reference Curves'!$H$11+'Reference Curves'!$H$12)),2))</f>
        <v/>
      </c>
      <c r="G91" s="455"/>
      <c r="H91" s="464"/>
      <c r="I91" s="460"/>
      <c r="J91" s="483"/>
    </row>
    <row r="92" spans="1:10" ht="15.95" customHeight="1" x14ac:dyDescent="0.5">
      <c r="A92" s="469"/>
      <c r="B92" s="469" t="s">
        <v>92</v>
      </c>
      <c r="C92" s="106" t="s">
        <v>187</v>
      </c>
      <c r="D92" s="106"/>
      <c r="E92" s="114"/>
      <c r="F92" s="24" t="str">
        <f>IF(E92="","",
ROUND(IF(E92&gt;=0.71,0,
IF(E92&lt;=0.1,1,
IF(E92&lt;=0.2,E92*'Reference Curves'!$I$16+'Reference Curves'!$I$17,
IF(E92&gt;=0.4,E92*'Reference Curves'!$G$16+'Reference Curves'!$G$17,
E92*'Reference Curves'!$H$16+'Reference Curves'!$H$17)))),2))</f>
        <v/>
      </c>
      <c r="G92" s="471" cm="1">
        <f t="array" ref="G92">IF(E95&gt;50,0,IF(OR(F92&lt;&gt;"",F93&lt;&gt;"",F94&lt;&gt;"",F95&lt;&gt;""),AVERAGE(F92:F95),_xlfn.IFS(B79="Secondary",'Functional Loss'!$H$26,B79="Tertiary",'Functional Loss'!$H$28,TRUE,'Functional Loss'!$H$23)))</f>
        <v>1</v>
      </c>
      <c r="H92" s="464"/>
      <c r="I92" s="460"/>
      <c r="J92" s="483"/>
    </row>
    <row r="93" spans="1:10" ht="15.95" customHeight="1" x14ac:dyDescent="0.5">
      <c r="A93" s="469"/>
      <c r="B93" s="469"/>
      <c r="C93" s="106" t="s">
        <v>36</v>
      </c>
      <c r="D93" s="106"/>
      <c r="E93" s="115"/>
      <c r="F93" s="8" t="str">
        <f>IF(E93="","",IF(OR(E93="Ex/VL",E93="VH/VL",E93="H/M",E93="H/L",E93="H/VL"),0.2, IF(OR(LEFT(E93,2)="Ex",E93="VH/Ex",E93="VH/VH", E93="VH/H"),0,IF(OR(E93="VH/M",E93="VH/L",E93="H/Ex", E93="H/VH", E93="H/H"),0.1, IF(OR(E93="M/Ex",E93="M/VH"),0.3, IF(E93="M/H",0.4, IF(E93="M/M",0.5, IF(OR(E93="M/L",E93="M/VL"),0.6, IF(E93="L/Ex",0.7, IF(OR(LEFT(E93,1)="L",LEFT(E93,2)="VL"),1))))))))))</f>
        <v/>
      </c>
      <c r="G93" s="471"/>
      <c r="H93" s="464"/>
      <c r="I93" s="460"/>
      <c r="J93" s="483"/>
    </row>
    <row r="94" spans="1:10" ht="15.95" customHeight="1" x14ac:dyDescent="0.5">
      <c r="A94" s="469"/>
      <c r="B94" s="469"/>
      <c r="C94" s="164" t="s">
        <v>48</v>
      </c>
      <c r="D94" s="106"/>
      <c r="E94" s="114"/>
      <c r="F94" s="8" t="str">
        <f>IF(E94="","",ROUND(IF(E94&gt;=50,0,IF(E94&lt;=5,1,IF(E94&gt;11,E94*'Reference Curves'!$G$21+'Reference Curves'!$G$22,E94*'Reference Curves'!$H$21+'Reference Curves'!$H$22))),2))</f>
        <v/>
      </c>
      <c r="G94" s="471"/>
      <c r="H94" s="464"/>
      <c r="I94" s="460"/>
      <c r="J94" s="483"/>
    </row>
    <row r="95" spans="1:10" ht="15.95" customHeight="1" x14ac:dyDescent="0.5">
      <c r="A95" s="469"/>
      <c r="B95" s="469"/>
      <c r="C95" s="107" t="s">
        <v>124</v>
      </c>
      <c r="D95" s="107"/>
      <c r="E95" s="16"/>
      <c r="F95" s="25" t="str">
        <f>IF(E95="","",ROUND(IF(E95&gt;=30,0,E95*'Reference Curves'!$G$25+'Reference Curves'!$G$26),2))</f>
        <v/>
      </c>
      <c r="G95" s="471"/>
      <c r="H95" s="464"/>
      <c r="I95" s="460"/>
      <c r="J95" s="483"/>
    </row>
    <row r="96" spans="1:10" ht="15.95" customHeight="1" x14ac:dyDescent="0.5">
      <c r="A96" s="469"/>
      <c r="B96" s="462" t="s">
        <v>37</v>
      </c>
      <c r="C96" s="108" t="s">
        <v>144</v>
      </c>
      <c r="D96" s="163"/>
      <c r="E96" s="58"/>
      <c r="F96" s="116" t="str">
        <f>IF(E96="","",
IF(AND($G79="Single Family Residential",$G78="&lt; 5 %"),
ROUND(IF(E96&lt;=0,0,IF(E96&gt;=300,1,IF(E96&gt;=50, E96*'Reference Curves'!$H$31 +'Reference Curves'!$H$32,
E96*'Reference Curves'!$G$31 +'Reference Curves'!$G$32))),2),
IF(AND($G79="Single Family Residential",$G78="5 - 20 %"),
ROUND(IF(E96&lt;=0,0,IF(E96&gt;=300,1,IF(E96&gt;=100,E96*'Reference Curves'!$J$31+'Reference Curves'!$J$32,
E96*'Reference Curves'!$I$31+'Reference Curves'!$I$32))),2),
IF(AND($G79="Single Family Residential",$G78="21 - 40 %"),
ROUND(IF(E96&lt;=0,0,IF(E96&gt;=300,1,IF(E96&gt;=150,E96*'Reference Curves'!$L$31+'Reference Curves'!$L$32,
E96*'Reference Curves'!$K$31+'Reference Curves'!$K$32))),2),
IF(AND($G79="Single Family Residential",$G78="&gt; 40 %"),
ROUND(IF(E96&lt;=0,0,IF(E96&gt;=300,1,IF(E96&gt;=200,E96*'Reference Curves'!$N$31+'Reference Curves'!$N$32,
E96*'Reference Curves'!$M$31+'Reference Curves'!$M$32))),2),                           IF(AND($G79="Multi-Family Residential",$G78="&lt; 5 %"),
ROUND(IF(E96&lt;=0,0,IF(E96&gt;=293,1,IF(E96&gt;=60,E96*'Reference Curves'!$H$37+'Reference Curves'!$H$38,
E96*'Reference Curves'!$G$37+'Reference Curves'!$G$38))),2),
IF(AND($G79="Multi-Family Residential",$G78="5 - 20 %"),
ROUND(IF(E96&lt;=0,0,IF(E96&gt;=293,1,IF(E96&gt;=120, E96*'Reference Curves'!$J$37+'Reference Curves'!$J$38,
E96*'Reference Curves'!$I$37+'Reference Curves'!$I$38))),2),
IF(AND($G79="Multi-Family Residential",$G78="21 - 40 %"),
ROUND(IF(E96&lt;=0,0,IF(E96&gt;=300,1, IF(E96&gt;=180, E96*'Reference Curves'!$L$37+'Reference Curves'!$L$38,
E96*'Reference Curves'!$K$37+'Reference Curves'!$K$38))),2),
IF(AND($G79="Multi-Family Residential",$G78="&gt; 40 %"),
ROUND(IF(E96&lt;=0,0,IF(E96&gt;=345,1,E96*'Reference Curves'!$M$37+'Reference Curves'!$M$38)),2),
IF(AND($G79="Commercial / Golf Course / Agriculture / Silviculture", $G78="&lt; 5 %"),
ROUND(IF(E96&lt;=0,0, IF(E96&gt;=300,1, IF(E96&gt;=150,E96*'Reference Curves'!$H$43+'Reference Curves'!$H$44,
E96*'Reference Curves'!$G$43+'Reference Curves'!$G$44))),2),
IF(AND($G79="Commercial / Golf Course / Agriculture / Silviculture", $G78="5 - 20 %"),
ROUND(IF(E96&lt;=0,0, IF(E96&gt;=300,1, IF(E96&gt;=150,E96*'Reference Curves'!$H$43+'Reference Curves'!$H$44,
E96*'Reference Curves'!$G$43+'Reference Curves'!$G$44))),2),
IF(AND($G79="Commercial / Golf Course / Agriculture / Silviculture",$G78="21 - 40 %"),
ROUND(IF(E96&lt;=0,0,IF(E96&gt;=322.5,1, E96*'Reference Curves'!$I$43+'Reference Curves'!$I$44)),2),
IF(AND($G79="Commercial / Golf Course / Agriculture / Silviculture",$G78="&gt; 40 %"),
ROUND(IF(E96&lt;=0,0,IF(E96&gt;=434.7,1,E96*'Reference Curves'!$J$43+'Reference Curves'!$J$44)),2),
                   IF(AND($G79="Industrial / Landfill", $G78="&lt; 5 %"),
ROUND(IF(E96&lt;=0,0,IF(E96&gt;=300,1,IF(E96&gt;=150, E96*'Reference Curves'!$H$49+'Reference Curves'!$H$50,
E96*'Reference Curves'!$G$49+'Reference Curves'!$G$50))),2),
IF(AND($G79="Industrial / Landfill", $G78="5 - 20 %"),
ROUND(IF(E96&lt;=0,0,IF(E96&gt;=357.1,1, E96*'Reference Curves'!$I$49+'Reference Curves'!$I$50)),2),
IF(AND($G79="Industrial / Landfill",$G78="21 - 40 %"),
ROUND(IF(E96&lt;=0,0,IF(E96&gt;=499.9,1, E96*'Reference Curves'!$J$49+'Reference Curves'!$J$50)),2)))))))))))))))))</f>
        <v/>
      </c>
      <c r="G96" s="454" cm="1">
        <f t="array" ref="G96">IF(OR(F96&lt;&gt;"",F97&lt;&gt;"",F98&lt;&gt;"",F99&lt;&gt;"", F100&lt;&gt;"",F101&lt;&gt;""),AVERAGE(F96:F101), _xlfn.IFS(B79="Secondary",'Functional Loss'!$H$26, B79="Tertiary", 'Functional Loss'!$H$28, TRUE, 'Functional Loss'!$H$23))</f>
        <v>1</v>
      </c>
      <c r="H96" s="464"/>
      <c r="I96" s="460"/>
      <c r="J96" s="483"/>
    </row>
    <row r="97" spans="1:10" ht="15.95" customHeight="1" x14ac:dyDescent="0.5">
      <c r="A97" s="469"/>
      <c r="B97" s="469"/>
      <c r="C97" s="106" t="s">
        <v>159</v>
      </c>
      <c r="D97" s="165"/>
      <c r="E97" s="32"/>
      <c r="F97" s="117" t="str">
        <f>IF(E97="","",ROUND(IF(E97&gt;=9.3,1,E97*'Reference Curves'!$G$53+'Reference Curves'!$G$54),2))</f>
        <v/>
      </c>
      <c r="G97" s="470"/>
      <c r="H97" s="464"/>
      <c r="I97" s="460"/>
      <c r="J97" s="483"/>
    </row>
    <row r="98" spans="1:10" ht="15.95" customHeight="1" x14ac:dyDescent="0.5">
      <c r="A98" s="469"/>
      <c r="B98" s="469"/>
      <c r="C98" s="106" t="s">
        <v>188</v>
      </c>
      <c r="D98" s="165"/>
      <c r="E98" s="32"/>
      <c r="F98" s="117" t="str">
        <f>IF(E98="","",ROUND(IF(AND(E98&gt;=135,E98&lt;=262),1,IF(E98&gt;=366,0.5,IF(E98&lt;135,E98*'Reference Curves'!$G$57+'Reference Curves'!$G$58,E98*'Reference Curves'!$H$57+'Reference Curves'!$H$58))),2))</f>
        <v/>
      </c>
      <c r="G98" s="470"/>
      <c r="H98" s="464"/>
      <c r="I98" s="460"/>
      <c r="J98" s="483"/>
    </row>
    <row r="99" spans="1:10" ht="15.95" customHeight="1" x14ac:dyDescent="0.5">
      <c r="A99" s="469"/>
      <c r="B99" s="469"/>
      <c r="C99" s="106" t="s">
        <v>189</v>
      </c>
      <c r="D99" s="165"/>
      <c r="E99" s="32"/>
      <c r="F99" s="117" t="str">
        <f>IF(E99="","",  IF($G$4="&lt; 20 %",ROUND(IF(E99&gt;=566,1,E99*'Reference Curves'!$G$61+'Reference Curves'!$G$62),2)))</f>
        <v/>
      </c>
      <c r="G99" s="470"/>
      <c r="H99" s="464"/>
      <c r="I99" s="460"/>
      <c r="J99" s="483"/>
    </row>
    <row r="100" spans="1:10" ht="15.95" customHeight="1" x14ac:dyDescent="0.5">
      <c r="A100" s="469"/>
      <c r="B100" s="469"/>
      <c r="C100" s="106" t="s">
        <v>145</v>
      </c>
      <c r="D100" s="165"/>
      <c r="E100" s="32"/>
      <c r="F100" s="117" t="str">
        <f>IF(E100="","", ROUND(IF(E100&gt;=75,1,E100*'Reference Curves'!$G$65+'Reference Curves'!$G$66),2))</f>
        <v/>
      </c>
      <c r="G100" s="470"/>
      <c r="H100" s="464"/>
      <c r="I100" s="460"/>
      <c r="J100" s="483"/>
    </row>
    <row r="101" spans="1:10" ht="15.95" customHeight="1" x14ac:dyDescent="0.5">
      <c r="A101" s="469"/>
      <c r="B101" s="469"/>
      <c r="C101" s="106" t="s">
        <v>190</v>
      </c>
      <c r="D101" s="165"/>
      <c r="E101" s="32"/>
      <c r="F101" s="117" t="str">
        <f>IF(E101="","",IF(E101&gt;=100,0,ROUND(IF(E101&lt;=0,1,E101*'Reference Curves'!$G$69+'Reference Curves'!$G$70),2)))</f>
        <v/>
      </c>
      <c r="G101" s="470"/>
      <c r="H101" s="464"/>
      <c r="I101" s="460"/>
      <c r="J101" s="483"/>
    </row>
    <row r="102" spans="1:10" s="48" customFormat="1" ht="15.95" customHeight="1" x14ac:dyDescent="0.5">
      <c r="A102" s="469"/>
      <c r="B102" s="463"/>
      <c r="C102" s="106" t="s">
        <v>191</v>
      </c>
      <c r="D102" s="165"/>
      <c r="E102" s="32"/>
      <c r="F102" s="117"/>
      <c r="G102" s="455"/>
      <c r="H102" s="464"/>
      <c r="I102" s="460"/>
      <c r="J102" s="483"/>
    </row>
    <row r="103" spans="1:10" ht="15.95" customHeight="1" x14ac:dyDescent="0.5">
      <c r="A103" s="469"/>
      <c r="B103" s="462" t="s">
        <v>38</v>
      </c>
      <c r="C103" s="108" t="s">
        <v>192</v>
      </c>
      <c r="D103" s="163"/>
      <c r="E103" s="11"/>
      <c r="F103" s="24" t="str">
        <f>IF(E103="","",
IF($D80="Bc", ROUND(IF(E103&lt;=5,1,
IF(E103&gt;=8,0,
IF(E103&lt;6,E103*'Reference Curves'!$G$79+'Reference Curves'!$G$80,E103*'Reference Curves'!$H$79+'Reference Curves'!$H$80))),2),       IF(OR(LEFT($D80,1)="B",LEFT($D80,1)="A"),
ROUND(IF(E103&lt;=4,1,
IF(E103&gt;=6.5,0,
IF(E103&lt;5,E103*'Reference Curves'!$G$74+'Reference Curves'!$G$75, E103*'Reference Curves'!$H$74+'Reference Curves'!$H$75))),2),   IF(OR(LEFT($D80,1)="E",LEFT($D80,1)="C"),
ROUND(IF(OR(E103&gt;=9,E103&lt;=1),0,
IF(AND(E103&gt;=3.5,E103&lt;=6),1,
IF(E103&lt;3.5,E103*'Reference Curves'!$G$84+'Reference Curves'!$G$85,
E103*'Reference Curves'!$H$84+'Reference Curves'!$H$85))),2)))))</f>
        <v/>
      </c>
      <c r="G103" s="454" cm="1">
        <f t="array" ref="G103">IF(OR(D80="D",D80="DA"),"",IF(OR(F103&lt;&gt;"",F104&lt;&gt;"",F105&lt;&gt;""),AVERAGE(F103:F105),_xlfn.IFS(B79="Secondary",'Functional Loss'!$H$26,B79="Tertiary",'Functional Loss'!$H$28,TRUE,'Functional Loss'!$H$23)))</f>
        <v>1</v>
      </c>
      <c r="H103" s="464"/>
      <c r="I103" s="460"/>
      <c r="J103" s="483"/>
    </row>
    <row r="104" spans="1:10" ht="15.95" customHeight="1" x14ac:dyDescent="0.5">
      <c r="A104" s="469"/>
      <c r="B104" s="469"/>
      <c r="C104" s="106" t="s">
        <v>193</v>
      </c>
      <c r="D104" s="165"/>
      <c r="E104" s="14"/>
      <c r="F104" s="8" t="str">
        <f>IF(E104="","",IF(LEFT($D80,1)="A",
IF(E104&gt;=1.7,1,
IF(E104&lt;=1,0,
ROUND(IF(E104&lt;=1.1,'Reference Curves'!$G$89+'Reference Curves'!$G$90,
(IF(E104&gt;=1.4,E104*'Reference Curves'!$I$89+'Reference Curves'!$I$90,
E104*'Reference Curves'!$H$89+'Reference Curves'!$H$90))),2))),            IF(LEFT($D80,1)="B",
IF(E104&gt;=2.9,1,
IF(E104&lt;=1,0,
ROUND(IF(E104&lt;=2,E104*'Reference Curves'!$G$94+'Reference Curves'!$G$95,
(IF(E104&gt;=2.3,E104*'Reference Curves'!$I$94+'Reference Curves'!$I$95,
E104*'Reference Curves'!$H$94+'Reference Curves'!$H$95))),2))),     IF(LEFT($D80,1)="C",
IF(E104&gt;=2.3,1,
IF(E104&lt;=1,0,
ROUND(IF(E104&lt;=1.2,E104*'Reference Curves'!$G$99+'Reference Curves'!$G$100,
IF(E104&gt;=1.9, E104*'Reference Curves'!$I$99+'Reference Curves'!$I$100,
E104*'Reference Curves'!$H$99+'Reference Curves'!$H$100)),2))),          IF(LEFT($D80,1)="E",
IF(E104&gt;=2.1,1,
IF(E104&lt;=1,0,
ROUND(IF(E104&gt;=1.7, E104*'Reference Curves'!$I$104+'Reference Curves'!$I$105, IF(E104&lt;=1.4,
E104*'Reference Curves'!$G$104+'Reference Curves'!$G$105,E104*'Reference Curves'!$H$104+'Reference Curves'!$H$105)),2))))))))</f>
        <v/>
      </c>
      <c r="G104" s="470"/>
      <c r="H104" s="464"/>
      <c r="I104" s="460"/>
      <c r="J104" s="483"/>
    </row>
    <row r="105" spans="1:10" ht="15.95" customHeight="1" x14ac:dyDescent="0.5">
      <c r="A105" s="469"/>
      <c r="B105" s="463"/>
      <c r="C105" s="109" t="s">
        <v>80</v>
      </c>
      <c r="D105" s="161"/>
      <c r="E105" s="14"/>
      <c r="F105" s="118" t="str">
        <f>IF(E105="","",IF(OR(LEFT($D80,1)="F",LEFT($D80,1)="G",LEFT($D80,1)="D"),"FALSE",
IF(LEFT($D80,1)="A",
ROUND(IF(OR(E105&gt;=100,E105&lt;=0),0,IF(E105&lt;=54,E105*'Reference Curves'!$G$109+'Reference Curves'!$G$110,
IF(E105&gt;=62,E105*'Reference Curves'!$H$109+'Reference Curves'!$H$110,1))),2),IF(LEFT($D80,1)="B",
ROUND(IF(OR(E105&gt;=100,E105&lt;=0),0,IF(E105&lt;=53,E105*'Reference Curves'!$G$114+'Reference Curves'!$G$115,
IF(E105&gt;=61,E105*'Reference Curves'!$H$114+'Reference Curves'!$H$115,1))),2),
IF(LEFT($D80,1)="C",
ROUND(IF(OR(E105&gt;=100,E105&lt;=0),0,
IF(E105&lt;45,E105*'Reference Curves'!$G$119+'Reference Curves'!$G$120,
IF(E105&gt;=64,E105*'Reference Curves'!$H$119+'Reference Curves'!$H$120,1))),2),
IF(LEFT($D80,1)="E",
ROUND(IF(OR(E105&gt;=100,E105&lt;=0),0,
IF(E105&lt;43,E105*'Reference Curves'!$G$124+'Reference Curves'!$G$125,
IF(E105&gt;=63,E105*'Reference Curves'!$H$124+'Reference Curves'!$H$125,1))),2),))))))</f>
        <v/>
      </c>
      <c r="G105" s="470"/>
      <c r="H105" s="464"/>
      <c r="I105" s="461"/>
      <c r="J105" s="483"/>
    </row>
    <row r="106" spans="1:10" ht="15.95" customHeight="1" x14ac:dyDescent="0.5">
      <c r="A106" s="485" t="s">
        <v>40</v>
      </c>
      <c r="B106" s="249" t="s">
        <v>103</v>
      </c>
      <c r="C106" s="267" t="s">
        <v>235</v>
      </c>
      <c r="D106" s="98"/>
      <c r="E106" s="26"/>
      <c r="F106" s="119" t="str">
        <f>IF(E106="","",IF($G81="Coldwater",IF(E106&gt;=77,0,IF(E106&lt;=58.04,1,ROUND(E106*'Reference Curves'!$P$6+'Reference Curves'!$P$7,2)))))</f>
        <v/>
      </c>
      <c r="G106" s="120" cm="1">
        <f t="array" ref="G106">IF(G81="Warmwater","", IF(F106&lt;&gt;"",AVERAGE(F106),_xlfn.IFS(B79="Secondary",'Functional Loss'!$H$26,B79="Tertiary",'Functional Loss'!$H$28,TRUE,'Functional Loss'!$H$23)))</f>
        <v>1</v>
      </c>
      <c r="H106" s="465">
        <f>IFERROR(ROUND(AVERAGE(G106:G111),2),"")</f>
        <v>1</v>
      </c>
      <c r="I106" s="480" t="str">
        <f>IF(H106="","",IF(H106&gt;0.69,"Functioning",IF(H106&gt;0.29,"Functioning At Risk",IF(H106&gt;-1,"Not Functioning"))))</f>
        <v>Functioning</v>
      </c>
      <c r="J106" s="483"/>
    </row>
    <row r="107" spans="1:10" ht="15.95" customHeight="1" x14ac:dyDescent="0.5">
      <c r="A107" s="486"/>
      <c r="B107" s="81" t="s">
        <v>127</v>
      </c>
      <c r="C107" s="268" t="s">
        <v>370</v>
      </c>
      <c r="D107" s="99"/>
      <c r="E107" s="26"/>
      <c r="F107" s="119" t="str">
        <f>IF(E107="","",
ROUND(IF(E107&gt;='Reference Curves'!$P$16,0,
IF(E107&lt;=35,1,
IF(E107&gt;=121,E107*'Reference Curves'!$P$11+'Reference Curves'!$P$12,
E107*'Reference Curves'!$Q$11+'Reference Curves'!$Q$12))),2))</f>
        <v/>
      </c>
      <c r="G107" s="119" cm="1">
        <f t="array" ref="G107">IF(F107&lt;&gt;"",AVERAGE(F107),_xlfn.IFS(B79="Secondary",'Functional Loss'!$H$26,B79="Tertiary", 'Functional Loss'!$H$28, TRUE, 'Functional Loss'!$H$23))</f>
        <v>1</v>
      </c>
      <c r="H107" s="488"/>
      <c r="I107" s="489"/>
      <c r="J107" s="483"/>
    </row>
    <row r="108" spans="1:10" ht="15.95" customHeight="1" x14ac:dyDescent="0.5">
      <c r="A108" s="486"/>
      <c r="B108" s="100" t="s">
        <v>196</v>
      </c>
      <c r="C108" s="100" t="s">
        <v>197</v>
      </c>
      <c r="D108" s="101"/>
      <c r="E108" s="14"/>
      <c r="F108" s="119" t="str">
        <f>IF(E108="","",
IF(E108&gt;=2.3,0,
IF(E108&lt;=0.4,1,
ROUND(IF(E108&lt;0.8,E108*'Reference Curves'!$Q$21+'Reference Curves'!$Q$22,E108*'Reference Curves'!$P$21+'Reference Curves'!$P$22),2))))</f>
        <v/>
      </c>
      <c r="G108" s="119" cm="1">
        <f t="array" ref="G108">IF(F108&lt;&gt;"",AVERAGE(F108),_xlfn.IFS(B79="Secondary",'Functional Loss'!$H$26, B79="Tertiary", 'Functional Loss'!$H$28, TRUE, 'Functional Loss'!$H$23))</f>
        <v>1</v>
      </c>
      <c r="H108" s="488"/>
      <c r="I108" s="489"/>
      <c r="J108" s="483"/>
    </row>
    <row r="109" spans="1:10" ht="15.95" customHeight="1" x14ac:dyDescent="0.5">
      <c r="A109" s="486"/>
      <c r="B109" s="100" t="s">
        <v>198</v>
      </c>
      <c r="C109" s="263" t="s">
        <v>199</v>
      </c>
      <c r="D109" s="269"/>
      <c r="E109" s="11"/>
      <c r="F109" s="119" t="str">
        <f>IF(E109="","",
IF(E109&gt;=0.2,0,
IF(E109&lt;=0.04,1,
ROUND(IF(E109&lt;0.08,E109*'Reference Curves'!$Q$26+'Reference Curves'!$Q$27,
E109*'Reference Curves'!$P$26+'Reference Curves'!$P$27),2))))</f>
        <v/>
      </c>
      <c r="G109" s="119" cm="1">
        <f t="array" ref="G109">IF(F109&lt;&gt;"",AVERAGE(F109),_xlfn.IFS(B79="Secondary",'Functional Loss'!$H$26, B79="Tertiary", 'Functional Loss'!$H$28, TRUE, 'Functional Loss'!$H$23))</f>
        <v>1</v>
      </c>
      <c r="H109" s="488"/>
      <c r="I109" s="489"/>
      <c r="J109" s="483"/>
    </row>
    <row r="110" spans="1:10" ht="15.95" customHeight="1" x14ac:dyDescent="0.5">
      <c r="A110" s="486"/>
      <c r="B110" s="490" t="s">
        <v>371</v>
      </c>
      <c r="C110" s="263" t="s">
        <v>372</v>
      </c>
      <c r="D110" s="270"/>
      <c r="E110" s="271"/>
      <c r="F110" s="119" t="str">
        <f>IF(E110="","",
IF(E110&gt;=100,0,
IF(E110&lt;=10,1,
ROUND(IF(E110&lt;50,E110*'Reference Curves'!$Q$32+'Reference Curves'!$Q$33,
E110*'Reference Curves'!$P$32+'Reference Curves'!$P$33),2)
)))</f>
        <v/>
      </c>
      <c r="G110" s="465" cm="1">
        <f t="array" ref="G110">IF(OR(F110&lt;&gt;"",F111&lt;&gt;""),AVERAGE(F110:F111), _xlfn.IFS(B79="Secondary",'Functional Loss'!$H$26,B79="Tertiary", 'Functional Loss'!$H$28, TRUE, 'Functional Loss'!$H$23))</f>
        <v>1</v>
      </c>
      <c r="H110" s="488"/>
      <c r="I110" s="489"/>
      <c r="J110" s="483"/>
    </row>
    <row r="111" spans="1:10" ht="15.95" customHeight="1" x14ac:dyDescent="0.5">
      <c r="A111" s="487"/>
      <c r="B111" s="491"/>
      <c r="C111" s="266" t="s">
        <v>373</v>
      </c>
      <c r="D111" s="264"/>
      <c r="E111" s="16"/>
      <c r="F111" s="265" t="str">
        <f>IF(E111="","",
IF(E111&gt;=100,0,
IF(E111&lt;=10,1,
ROUND(IF(E111&lt;50,E111*'Reference Curves'!$Q$32+'Reference Curves'!$Q$33,
E111*'Reference Curves'!$P$32+'Reference Curves'!$P$33),2)
)))</f>
        <v/>
      </c>
      <c r="G111" s="466"/>
      <c r="H111" s="466"/>
      <c r="I111" s="481"/>
      <c r="J111" s="483"/>
    </row>
    <row r="112" spans="1:10" ht="15.95" customHeight="1" x14ac:dyDescent="0.5">
      <c r="A112" s="476" t="s">
        <v>41</v>
      </c>
      <c r="B112" s="211" t="s">
        <v>81</v>
      </c>
      <c r="C112" s="56" t="s">
        <v>200</v>
      </c>
      <c r="D112" s="57"/>
      <c r="E112" s="273"/>
      <c r="F112" s="274" t="str">
        <f>IF(E112="","",
IF($D78="Blue Ridge Mountains",
ROUND(IF(E112&lt;=0,0,
IF(E112&gt;=36,1,
IF(E112&lt;=19,E112*'Reference Curves'!$S$6+'Reference Curves'!$S$7,
IF(E112&gt;=28, E112*'Reference Curves'!$U$6+'Reference Curves'!$U$7,
E112*'Reference Curves'!$T$6+'Reference Curves'!$T$7 )))),2),
IF($D78="Piedmont",
ROUND(IF(E112&lt;=0,0,
IF(E112&gt;=28,1,
IF(E112&lt;=14,E112*'Reference Curves'!$S$11+'Reference Curves'!$S$12,
IF(E112&gt;=21, E112*'Reference Curves'!$U$11+'Reference Curves'!$U$12,
E112*'Reference Curves'!$T$11+'Reference Curves'!$T$12)))),2),
IF(OR($D78="Southeastern Plains",$D78="Middle Atlantic Coastal Plain"),
ROUND(IF(E112&lt;=0,0,
IF(E112&gt;=15,1,
IF(E112&lt;=5, E112*'Reference Curves'!$S$16+'Reference Curves'!$S$17,
IF(E112&gt;=10,E112*'Reference Curves'!$U$16+'Reference Curves'!$U$17,
E112*'Reference Curves'!$T$16+'Reference Curves'!$T$17)))),2)))))</f>
        <v/>
      </c>
      <c r="G112" s="272" cm="1">
        <f t="array" ref="G112">IF(F112&lt;&gt;"",AVERAGE(F112),_xlfn.IFS(B79="Secondary",'Functional Loss'!$H$26, B79="Tertiary", 'Functional Loss'!$H$28, TRUE, 'Functional Loss'!$H$23))</f>
        <v>1</v>
      </c>
      <c r="H112" s="478">
        <f>IFERROR(ROUND(AVERAGE(G112:G113),2),"")</f>
        <v>1</v>
      </c>
      <c r="I112" s="480" t="str">
        <f>IF(H112="","",IF(H112&gt;0.69,"Functioning",IF(H112&gt;0.29,"Functioning At Risk",IF(H112&gt;-1,"Not Functioning"))))</f>
        <v>Functioning</v>
      </c>
      <c r="J112" s="483"/>
    </row>
    <row r="113" spans="1:10" s="48" customFormat="1" ht="15.95" customHeight="1" x14ac:dyDescent="0.5">
      <c r="A113" s="477"/>
      <c r="B113" s="211" t="s">
        <v>45</v>
      </c>
      <c r="C113" s="57" t="s">
        <v>374</v>
      </c>
      <c r="D113" s="57"/>
      <c r="E113" s="275"/>
      <c r="F113" s="210" t="str">
        <f>IF(E113="","",
IF($G82="1 - Upland Santee/Pee-Dee Basin",
IF(E113&lt;-1,0,
IF(E113&gt;1,1,
ROUND(IF(E113&gt;=0.05,E113*'Reference Curves'!$T$21+'Reference Curves'!$T$22,
E113*'Reference Curves'!$S$21+'Reference Curves'!$S$22),2))),
IF($G82="2 - Upland Savannah",
IF(E113&lt;-1,0,
IF(E113&gt;1,1,
ROUND(IF(E113&gt;=0.002,E113*'Reference Curves'!$T$26+'Reference Curves'!$T$27,
E113*'Reference Curves'!$S$26+'Reference Curves'!$S$27),2))),
IF($G82="3 - Lowland Perennial",
IF(E113&lt;-1,0,
IF(E113&gt;1,1,
ROUND(IF(E113&gt;=0.005,E113*'Reference Curves'!$T$31+'Reference Curves'!$T$32,
E113*'Reference Curves'!$S$31+'Reference Curves'!$S$32),2))),
IF($G82="4 - Lowland Stable Baseflow",
IF(E113&lt;-1,0,
IF(E113&gt;1,1,
ROUND(IF(E113&gt;=0.3,E113*'Reference Curves'!$T$36+'Reference Curves'!$T$37,
E113*'Reference Curves'!$S$36+'Reference Curves'!$S$37),2))))))))</f>
        <v/>
      </c>
      <c r="G113" s="120" cm="1">
        <f t="array" ref="G113">IF(F113&lt;&gt;"",AVERAGE(F113),_xlfn.IFS(B79="Secondary",'Functional Loss'!$H$26, B79="Tertiary", 'Functional Loss'!$H$28, TRUE, 'Functional Loss'!$H$23))</f>
        <v>1</v>
      </c>
      <c r="H113" s="479"/>
      <c r="I113" s="481"/>
      <c r="J113" s="484"/>
    </row>
    <row r="114" spans="1:10" s="48" customFormat="1" ht="14.1" customHeight="1" x14ac:dyDescent="0.45">
      <c r="I114" s="27"/>
    </row>
    <row r="115" spans="1:10" ht="30" customHeight="1" x14ac:dyDescent="0.65">
      <c r="A115" s="500" t="s">
        <v>395</v>
      </c>
      <c r="B115" s="501"/>
      <c r="C115" s="501"/>
      <c r="D115" s="501"/>
      <c r="E115" s="501"/>
      <c r="F115" s="501"/>
      <c r="G115" s="501"/>
      <c r="H115" s="501"/>
      <c r="I115" s="501"/>
      <c r="J115" s="502"/>
    </row>
    <row r="116" spans="1:10" ht="31.5" customHeight="1" x14ac:dyDescent="0.45">
      <c r="A116" s="121" t="s">
        <v>59</v>
      </c>
      <c r="B116" s="122">
        <f>'Project Summary'!$A13</f>
        <v>0</v>
      </c>
      <c r="C116" s="282" t="s">
        <v>146</v>
      </c>
      <c r="D116" s="283"/>
      <c r="E116" s="59" t="s">
        <v>236</v>
      </c>
      <c r="F116" s="121"/>
      <c r="G116" s="467"/>
      <c r="H116" s="468"/>
      <c r="I116" s="127" t="s">
        <v>95</v>
      </c>
      <c r="J116" s="123"/>
    </row>
    <row r="117" spans="1:10" ht="31.5" x14ac:dyDescent="0.45">
      <c r="A117" s="121" t="s">
        <v>201</v>
      </c>
      <c r="B117" s="122">
        <f>'Project Summary'!D13</f>
        <v>0</v>
      </c>
      <c r="C117" s="282" t="s">
        <v>60</v>
      </c>
      <c r="D117" s="284"/>
      <c r="E117" s="59" t="s">
        <v>237</v>
      </c>
      <c r="F117" s="124"/>
      <c r="G117" s="467"/>
      <c r="H117" s="468"/>
      <c r="I117" s="127" t="s">
        <v>96</v>
      </c>
      <c r="J117" s="123"/>
    </row>
    <row r="118" spans="1:10" ht="31.5" customHeight="1" x14ac:dyDescent="0.45">
      <c r="A118" s="121" t="s">
        <v>316</v>
      </c>
      <c r="B118" s="122">
        <f>'Functional Loss'!D12</f>
        <v>0</v>
      </c>
      <c r="C118" s="282" t="s">
        <v>94</v>
      </c>
      <c r="D118" s="284"/>
      <c r="E118" s="503" t="s">
        <v>346</v>
      </c>
      <c r="F118" s="504"/>
      <c r="G118" s="467"/>
      <c r="H118" s="468"/>
      <c r="I118" s="127" t="s">
        <v>97</v>
      </c>
      <c r="J118" s="123"/>
    </row>
    <row r="119" spans="1:10" ht="31.5" x14ac:dyDescent="0.45">
      <c r="A119" s="95" t="s">
        <v>392</v>
      </c>
      <c r="B119" s="122">
        <f>'Project Summary'!C13</f>
        <v>0</v>
      </c>
      <c r="C119" s="282" t="s">
        <v>73</v>
      </c>
      <c r="D119" s="284"/>
      <c r="E119" s="59" t="s">
        <v>147</v>
      </c>
      <c r="F119" s="126"/>
      <c r="G119" s="467"/>
      <c r="H119" s="468"/>
      <c r="I119" s="127" t="s">
        <v>98</v>
      </c>
      <c r="J119" s="123"/>
    </row>
    <row r="120" spans="1:10" ht="31.5" customHeight="1" x14ac:dyDescent="0.45">
      <c r="A120" s="59" t="s">
        <v>148</v>
      </c>
      <c r="B120" s="122">
        <f>'Project Summary'!B13</f>
        <v>0</v>
      </c>
      <c r="C120" s="282" t="s">
        <v>396</v>
      </c>
      <c r="D120" s="123"/>
      <c r="E120" s="472" t="s">
        <v>355</v>
      </c>
      <c r="F120" s="472"/>
      <c r="G120" s="467"/>
      <c r="H120" s="468"/>
      <c r="I120" s="121" t="s">
        <v>226</v>
      </c>
      <c r="J120" s="197"/>
    </row>
    <row r="121" spans="1:10" ht="28.5" customHeight="1" x14ac:dyDescent="0.65">
      <c r="A121" s="473" t="s">
        <v>39</v>
      </c>
      <c r="B121" s="473"/>
      <c r="C121" s="473"/>
      <c r="D121" s="473"/>
      <c r="E121" s="473"/>
      <c r="F121" s="473"/>
      <c r="G121" s="336" t="s">
        <v>348</v>
      </c>
      <c r="H121" s="336"/>
      <c r="I121" s="336"/>
      <c r="J121" s="336"/>
    </row>
    <row r="122" spans="1:10" ht="15.75" x14ac:dyDescent="0.5">
      <c r="A122" s="12" t="s">
        <v>1</v>
      </c>
      <c r="B122" s="12" t="s">
        <v>166</v>
      </c>
      <c r="C122" s="474" t="s">
        <v>165</v>
      </c>
      <c r="D122" s="475"/>
      <c r="E122" s="12" t="s">
        <v>8</v>
      </c>
      <c r="F122" s="171" t="s">
        <v>9</v>
      </c>
      <c r="G122" s="12" t="s">
        <v>10</v>
      </c>
      <c r="H122" s="12" t="s">
        <v>11</v>
      </c>
      <c r="I122" s="28" t="s">
        <v>11</v>
      </c>
      <c r="J122" s="12" t="s">
        <v>82</v>
      </c>
    </row>
    <row r="123" spans="1:10" ht="15.95" customHeight="1" x14ac:dyDescent="0.5">
      <c r="A123" s="492" t="s">
        <v>42</v>
      </c>
      <c r="B123" s="494" t="s">
        <v>65</v>
      </c>
      <c r="C123" s="166" t="s">
        <v>181</v>
      </c>
      <c r="D123" s="102"/>
      <c r="E123" s="11"/>
      <c r="F123" s="110" t="str">
        <f>IF(E123="","",IF(E123&gt;78,0,IF(E123&lt;55,1,ROUND(E123*'Reference Curves'!$B$6+'Reference Curves'!$B$7,2))))</f>
        <v/>
      </c>
      <c r="G123" s="454" cm="1">
        <f t="array" ref="G123">IF(OR(F123&lt;&gt;"",F124&lt;&gt;""),AVERAGE(F123:F124),_xlfn.IFS(B117="Secondary",'Functional Loss'!$H$26,B117="Tertiary",'Functional Loss'!$H$28,TRUE,'Functional Loss'!$H$23))</f>
        <v>1</v>
      </c>
      <c r="H123" s="496">
        <f>IFERROR(ROUND(AVERAGE(G123),2),"")</f>
        <v>1</v>
      </c>
      <c r="I123" s="498" t="str">
        <f>IF(H123="","",IF(H123&gt;0.69,"Functioning",IF(H123&gt;0.29,"Functioning At Risk",IF(H123&gt;-1,"Not Functioning"))))</f>
        <v>Functioning</v>
      </c>
      <c r="J123" s="482">
        <f>IF(AND(H123="",H125="",H128="",H144="",H150=""),"",ROUND((IF(H123="",0,H123)*0.2)+(IF(H125="",0,H125)*0.2)+(IF(H128="",0,H128)*0.2)+(IF(H144="",0,H144)*0.2)+(IF(H150="",0,H150)*0.2),2))</f>
        <v>1</v>
      </c>
    </row>
    <row r="124" spans="1:10" ht="15.95" customHeight="1" x14ac:dyDescent="0.5">
      <c r="A124" s="493"/>
      <c r="B124" s="495"/>
      <c r="C124" s="167" t="s">
        <v>143</v>
      </c>
      <c r="D124" s="103"/>
      <c r="E124" s="15"/>
      <c r="F124" s="111" t="str">
        <f>IF(E124="","",IF(E124&gt;3.33,0,IF(E124=0,1,ROUND(E124*'Reference Curves'!$B$10+'Reference Curves'!$B$11,2))))</f>
        <v/>
      </c>
      <c r="G124" s="455"/>
      <c r="H124" s="497"/>
      <c r="I124" s="498"/>
      <c r="J124" s="483"/>
    </row>
    <row r="125" spans="1:10" ht="15.95" customHeight="1" x14ac:dyDescent="0.5">
      <c r="A125" s="499" t="s">
        <v>2</v>
      </c>
      <c r="B125" s="452" t="s">
        <v>3</v>
      </c>
      <c r="C125" s="104" t="s">
        <v>182</v>
      </c>
      <c r="D125" s="104"/>
      <c r="E125" s="14"/>
      <c r="F125" s="60" t="str">
        <f>IF(E125="","",ROUND(IF(OR(E125&gt;1.71,E125&lt;0.34),0,IF(E125&lt;=1,1,E125*'Reference Curves'!$D$5+'Reference Curves'!$D$6)),2))</f>
        <v/>
      </c>
      <c r="G125" s="454" cm="1">
        <f t="array" ref="G125">IF(OR(F125&lt;&gt;"",F126&lt;&gt;""),AVERAGE(F125:F126), _xlfn.IFS(B117="Secondary",'Functional Loss'!$H$26,B117="Tertiary", 'Functional Loss'!$H$28, TRUE, 'Functional Loss'!$H$23))</f>
        <v>1</v>
      </c>
      <c r="H125" s="456">
        <f>IFERROR(ROUND(AVERAGE(G125:G127),2),"")</f>
        <v>1</v>
      </c>
      <c r="I125" s="459" t="str">
        <f>IF(H125="","",IF(H125&gt;0.69,"Functioning",IF(H125&gt;0.29,"Functioning At Risk",IF(H125&gt;-1,"Not Functioning"))))</f>
        <v>Functioning</v>
      </c>
      <c r="J125" s="483"/>
    </row>
    <row r="126" spans="1:10" ht="15.95" customHeight="1" x14ac:dyDescent="0.5">
      <c r="A126" s="452"/>
      <c r="B126" s="453"/>
      <c r="C126" s="105" t="s">
        <v>183</v>
      </c>
      <c r="D126" s="105"/>
      <c r="E126" s="15"/>
      <c r="F126" s="112" t="str">
        <f>IF(E126="","",
IF(LEFT($D118,1)="C",
ROUND(IF(E126&gt;=7.3,1,
IF(E126&lt;=1,0,
IF(E126&lt;=2.2, E126*'Reference Curves'!$D$10+'Reference Curves'!$D$11, E126*'Reference Curves'!$E$10+'Reference Curves'!$E$11))),2),
IF(LEFT($D118,1)="B",
ROUND(IF(E126&gt;=2,1,
IF(E126&lt;=1,0,
IF(E126&lt;=1.4,E126*'Reference Curves'!$D$20+'Reference Curves'!$D$21,E126*'Reference Curves'!$E$20+'Reference Curves'!$E$21))),2), IF(OR(LEFT($D118,1)="E"), ROUND(IF(E126&gt;=10,1,
IF(E126&lt;=1,0,
IF(E126&lt;=2.2,  E126*'Reference Curves'!$D$15+'Reference Curves'!$D$16,
E126*'Reference Curves'!$E$15+'Reference Curves'!$E$16))),2)))))</f>
        <v/>
      </c>
      <c r="G126" s="455"/>
      <c r="H126" s="457"/>
      <c r="I126" s="460"/>
      <c r="J126" s="483"/>
    </row>
    <row r="127" spans="1:10" ht="15.95" customHeight="1" x14ac:dyDescent="0.5">
      <c r="A127" s="453"/>
      <c r="B127" s="248" t="s">
        <v>184</v>
      </c>
      <c r="C127" s="104" t="s">
        <v>185</v>
      </c>
      <c r="D127" s="104"/>
      <c r="E127" s="14"/>
      <c r="F127" s="60" t="str">
        <f>IF(E127="","",(IF(E127&gt;=1.8,0,  IF(E127=1,1,ROUND(IF(E127&gt;1,E127*'Reference Curves'!$E$25+'Reference Curves'!$E$26, IF(E125&gt;1.2, IF(E127&lt;=0.2,0,E127*'Reference Curves'!$D$25+'Reference Curves'!$D$26),1)),2)))))</f>
        <v/>
      </c>
      <c r="G127" s="120" cm="1">
        <f t="array" ref="G127">IF(OR(D118="D",D118="DA"),"",IF(F127&lt;&gt;"",IFERROR(AVERAGE(F127),""),_xlfn.IFS(B117="Secondary",'Functional Loss'!$H$26, B117="Tertiary", 'Functional Loss'!$H$28, TRUE, 'Functional Loss'!$H$23)))</f>
        <v>1</v>
      </c>
      <c r="H127" s="458"/>
      <c r="I127" s="461"/>
      <c r="J127" s="483"/>
    </row>
    <row r="128" spans="1:10" ht="15.95" customHeight="1" x14ac:dyDescent="0.5">
      <c r="A128" s="462" t="s">
        <v>14</v>
      </c>
      <c r="B128" s="462" t="s">
        <v>15</v>
      </c>
      <c r="C128" s="162" t="s">
        <v>13</v>
      </c>
      <c r="D128" s="163"/>
      <c r="E128" s="11"/>
      <c r="F128" s="113" t="str">
        <f>IF(E128="","",ROUND(IF(E128&gt;=731,1,IF(E128&lt;=0,0,IF(E128&lt;355,E128*'Reference Curves'!$G$6+'Reference Curves'!$G$7,E128*'Reference Curves'!$H$6+'Reference Curves'!$H$7))),2))</f>
        <v/>
      </c>
      <c r="G128" s="454" cm="1">
        <f t="array" ref="G128">IF(OR(F128&lt;&gt;"",F129&lt;&gt;""),AVERAGE(F128:F129), _xlfn.IFS(B117="Secondary",'Functional Loss'!$H$26,B117="Tertiary", 'Functional Loss'!$H$28, TRUE, 'Functional Loss'!$H$23))</f>
        <v>1</v>
      </c>
      <c r="H128" s="464">
        <f>IFERROR(ROUND(AVERAGE(G128:G143),2),"")</f>
        <v>1</v>
      </c>
      <c r="I128" s="459" t="str">
        <f>IF(H128="","",IF(H128&gt;0.69,"Functioning",IF(H128&gt;0.29,"Functioning At Risk",IF(H128&gt;-1,"Not Functioning"))))</f>
        <v>Functioning</v>
      </c>
      <c r="J128" s="483"/>
    </row>
    <row r="129" spans="1:10" ht="15.95" customHeight="1" x14ac:dyDescent="0.5">
      <c r="A129" s="469"/>
      <c r="B129" s="463"/>
      <c r="C129" s="160" t="s">
        <v>186</v>
      </c>
      <c r="D129" s="161"/>
      <c r="E129" s="15"/>
      <c r="F129" s="25" t="str">
        <f>IF(E129="","",ROUND(IF(E129&gt;=28,1,IF(E129&lt;16,E129*'Reference Curves'!$G$11+'Reference Curves'!$G$12,E129*'Reference Curves'!$H$11+'Reference Curves'!$H$12)),2))</f>
        <v/>
      </c>
      <c r="G129" s="455"/>
      <c r="H129" s="464"/>
      <c r="I129" s="460"/>
      <c r="J129" s="483"/>
    </row>
    <row r="130" spans="1:10" ht="15.95" customHeight="1" x14ac:dyDescent="0.5">
      <c r="A130" s="469"/>
      <c r="B130" s="469" t="s">
        <v>92</v>
      </c>
      <c r="C130" s="106" t="s">
        <v>187</v>
      </c>
      <c r="D130" s="106"/>
      <c r="E130" s="114"/>
      <c r="F130" s="24" t="str">
        <f>IF(E130="","",
ROUND(IF(E130&gt;=0.71,0,
IF(E130&lt;=0.1,1,
IF(E130&lt;=0.2,E130*'Reference Curves'!$I$16+'Reference Curves'!$I$17,
IF(E130&gt;=0.4,E130*'Reference Curves'!$G$16+'Reference Curves'!$G$17,
E130*'Reference Curves'!$H$16+'Reference Curves'!$H$17)))),2))</f>
        <v/>
      </c>
      <c r="G130" s="471" cm="1">
        <f t="array" ref="G130">IF(E133&gt;50,0,IF(OR(F130&lt;&gt;"",F131&lt;&gt;"",F132&lt;&gt;"",F133&lt;&gt;""),AVERAGE(F130:F133),_xlfn.IFS(B117="Secondary",'Functional Loss'!$H$26,B117="Tertiary",'Functional Loss'!$H$28,TRUE,'Functional Loss'!$H$23)))</f>
        <v>1</v>
      </c>
      <c r="H130" s="464"/>
      <c r="I130" s="460"/>
      <c r="J130" s="483"/>
    </row>
    <row r="131" spans="1:10" ht="15.95" customHeight="1" x14ac:dyDescent="0.5">
      <c r="A131" s="469"/>
      <c r="B131" s="469"/>
      <c r="C131" s="106" t="s">
        <v>36</v>
      </c>
      <c r="D131" s="106"/>
      <c r="E131" s="115"/>
      <c r="F131" s="8" t="str">
        <f>IF(E131="","",IF(OR(E131="Ex/VL",E131="VH/VL",E131="H/M",E131="H/L",E131="H/VL"),0.2, IF(OR(LEFT(E131,2)="Ex",E131="VH/Ex",E131="VH/VH", E131="VH/H"),0,IF(OR(E131="VH/M",E131="VH/L",E131="H/Ex", E131="H/VH", E131="H/H"),0.1, IF(OR(E131="M/Ex",E131="M/VH"),0.3, IF(E131="M/H",0.4, IF(E131="M/M",0.5, IF(OR(E131="M/L",E131="M/VL"),0.6, IF(E131="L/Ex",0.7, IF(OR(LEFT(E131,1)="L",LEFT(E131,2)="VL"),1))))))))))</f>
        <v/>
      </c>
      <c r="G131" s="471"/>
      <c r="H131" s="464"/>
      <c r="I131" s="460"/>
      <c r="J131" s="483"/>
    </row>
    <row r="132" spans="1:10" ht="15.95" customHeight="1" x14ac:dyDescent="0.5">
      <c r="A132" s="469"/>
      <c r="B132" s="469"/>
      <c r="C132" s="164" t="s">
        <v>48</v>
      </c>
      <c r="D132" s="106"/>
      <c r="E132" s="114"/>
      <c r="F132" s="8" t="str">
        <f>IF(E132="","",ROUND(IF(E132&gt;=50,0,IF(E132&lt;=5,1,IF(E132&gt;11,E132*'Reference Curves'!$G$21+'Reference Curves'!$G$22,E132*'Reference Curves'!$H$21+'Reference Curves'!$H$22))),2))</f>
        <v/>
      </c>
      <c r="G132" s="471"/>
      <c r="H132" s="464"/>
      <c r="I132" s="460"/>
      <c r="J132" s="483"/>
    </row>
    <row r="133" spans="1:10" ht="15.95" customHeight="1" x14ac:dyDescent="0.5">
      <c r="A133" s="469"/>
      <c r="B133" s="469"/>
      <c r="C133" s="107" t="s">
        <v>124</v>
      </c>
      <c r="D133" s="107"/>
      <c r="E133" s="16"/>
      <c r="F133" s="25" t="str">
        <f>IF(E133="","",ROUND(IF(E133&gt;=30,0,E133*'Reference Curves'!$G$25+'Reference Curves'!$G$26),2))</f>
        <v/>
      </c>
      <c r="G133" s="471"/>
      <c r="H133" s="464"/>
      <c r="I133" s="460"/>
      <c r="J133" s="483"/>
    </row>
    <row r="134" spans="1:10" ht="15.95" customHeight="1" x14ac:dyDescent="0.5">
      <c r="A134" s="469"/>
      <c r="B134" s="462" t="s">
        <v>37</v>
      </c>
      <c r="C134" s="108" t="s">
        <v>144</v>
      </c>
      <c r="D134" s="163"/>
      <c r="E134" s="58"/>
      <c r="F134" s="116" t="str">
        <f>IF(E134="","",
IF(AND($G117="Single Family Residential",$G116="&lt; 5 %"),
ROUND(IF(E134&lt;=0,0,IF(E134&gt;=300,1,IF(E134&gt;=50, E134*'Reference Curves'!$H$31 +'Reference Curves'!$H$32,
E134*'Reference Curves'!$G$31 +'Reference Curves'!$G$32))),2),
IF(AND($G117="Single Family Residential",$G116="5 - 20 %"),
ROUND(IF(E134&lt;=0,0,IF(E134&gt;=300,1,IF(E134&gt;=100,E134*'Reference Curves'!$J$31+'Reference Curves'!$J$32,
E134*'Reference Curves'!$I$31+'Reference Curves'!$I$32))),2),
IF(AND($G117="Single Family Residential",$G116="21 - 40 %"),
ROUND(IF(E134&lt;=0,0,IF(E134&gt;=300,1,IF(E134&gt;=150,E134*'Reference Curves'!$L$31+'Reference Curves'!$L$32,
E134*'Reference Curves'!$K$31+'Reference Curves'!$K$32))),2),
IF(AND($G117="Single Family Residential",$G116="&gt; 40 %"),
ROUND(IF(E134&lt;=0,0,IF(E134&gt;=300,1,IF(E134&gt;=200,E134*'Reference Curves'!$N$31+'Reference Curves'!$N$32,
E134*'Reference Curves'!$M$31+'Reference Curves'!$M$32))),2),                           IF(AND($G117="Multi-Family Residential",$G116="&lt; 5 %"),
ROUND(IF(E134&lt;=0,0,IF(E134&gt;=293,1,IF(E134&gt;=60,E134*'Reference Curves'!$H$37+'Reference Curves'!$H$38,
E134*'Reference Curves'!$G$37+'Reference Curves'!$G$38))),2),
IF(AND($G117="Multi-Family Residential",$G116="5 - 20 %"),
ROUND(IF(E134&lt;=0,0,IF(E134&gt;=293,1,IF(E134&gt;=120, E134*'Reference Curves'!$J$37+'Reference Curves'!$J$38,
E134*'Reference Curves'!$I$37+'Reference Curves'!$I$38))),2),
IF(AND($G117="Multi-Family Residential",$G116="21 - 40 %"),
ROUND(IF(E134&lt;=0,0,IF(E134&gt;=300,1, IF(E134&gt;=180, E134*'Reference Curves'!$L$37+'Reference Curves'!$L$38,
E134*'Reference Curves'!$K$37+'Reference Curves'!$K$38))),2),
IF(AND($G117="Multi-Family Residential",$G116="&gt; 40 %"),
ROUND(IF(E134&lt;=0,0,IF(E134&gt;=345,1,E134*'Reference Curves'!$M$37+'Reference Curves'!$M$38)),2),
IF(AND($G117="Commercial / Golf Course / Agriculture / Silviculture", $G116="&lt; 5 %"),
ROUND(IF(E134&lt;=0,0, IF(E134&gt;=300,1, IF(E134&gt;=150,E134*'Reference Curves'!$H$43+'Reference Curves'!$H$44,
E134*'Reference Curves'!$G$43+'Reference Curves'!$G$44))),2),
IF(AND($G117="Commercial / Golf Course / Agriculture / Silviculture", $G116="5 - 20 %"),
ROUND(IF(E134&lt;=0,0, IF(E134&gt;=300,1, IF(E134&gt;=150,E134*'Reference Curves'!$H$43+'Reference Curves'!$H$44,
E134*'Reference Curves'!$G$43+'Reference Curves'!$G$44))),2),
IF(AND($G117="Commercial / Golf Course / Agriculture / Silviculture",$G116="21 - 40 %"),
ROUND(IF(E134&lt;=0,0,IF(E134&gt;=322.5,1, E134*'Reference Curves'!$I$43+'Reference Curves'!$I$44)),2),
IF(AND($G117="Commercial / Golf Course / Agriculture / Silviculture",$G116="&gt; 40 %"),
ROUND(IF(E134&lt;=0,0,IF(E134&gt;=434.7,1,E134*'Reference Curves'!$J$43+'Reference Curves'!$J$44)),2),
                   IF(AND($G117="Industrial / Landfill", $G116="&lt; 5 %"),
ROUND(IF(E134&lt;=0,0,IF(E134&gt;=300,1,IF(E134&gt;=150, E134*'Reference Curves'!$H$49+'Reference Curves'!$H$50,
E134*'Reference Curves'!$G$49+'Reference Curves'!$G$50))),2),
IF(AND($G117="Industrial / Landfill", $G116="5 - 20 %"),
ROUND(IF(E134&lt;=0,0,IF(E134&gt;=357.1,1, E134*'Reference Curves'!$I$49+'Reference Curves'!$I$50)),2),
IF(AND($G117="Industrial / Landfill",$G116="21 - 40 %"),
ROUND(IF(E134&lt;=0,0,IF(E134&gt;=499.9,1, E134*'Reference Curves'!$J$49+'Reference Curves'!$J$50)),2)))))))))))))))))</f>
        <v/>
      </c>
      <c r="G134" s="454" cm="1">
        <f t="array" ref="G134">IF(OR(F134&lt;&gt;"",F135&lt;&gt;"",F136&lt;&gt;"",F137&lt;&gt;"", F138&lt;&gt;"",F139&lt;&gt;""),AVERAGE(F134:F139), _xlfn.IFS(B117="Secondary",'Functional Loss'!$H$26, B117="Tertiary", 'Functional Loss'!$H$28, TRUE, 'Functional Loss'!$H$23))</f>
        <v>1</v>
      </c>
      <c r="H134" s="464"/>
      <c r="I134" s="460"/>
      <c r="J134" s="483"/>
    </row>
    <row r="135" spans="1:10" ht="15.95" customHeight="1" x14ac:dyDescent="0.5">
      <c r="A135" s="469"/>
      <c r="B135" s="469"/>
      <c r="C135" s="106" t="s">
        <v>159</v>
      </c>
      <c r="D135" s="165"/>
      <c r="E135" s="32"/>
      <c r="F135" s="117" t="str">
        <f>IF(E135="","",ROUND(IF(E135&gt;=9.3,1,E135*'Reference Curves'!$G$53+'Reference Curves'!$G$54),2))</f>
        <v/>
      </c>
      <c r="G135" s="470"/>
      <c r="H135" s="464"/>
      <c r="I135" s="460"/>
      <c r="J135" s="483"/>
    </row>
    <row r="136" spans="1:10" ht="15.95" customHeight="1" x14ac:dyDescent="0.5">
      <c r="A136" s="469"/>
      <c r="B136" s="469"/>
      <c r="C136" s="106" t="s">
        <v>188</v>
      </c>
      <c r="D136" s="165"/>
      <c r="E136" s="32"/>
      <c r="F136" s="117" t="str">
        <f>IF(E136="","",ROUND(IF(AND(E136&gt;=135,E136&lt;=262),1,IF(E136&gt;=366,0.5,IF(E136&lt;135,E136*'Reference Curves'!$G$57+'Reference Curves'!$G$58,E136*'Reference Curves'!$H$57+'Reference Curves'!$H$58))),2))</f>
        <v/>
      </c>
      <c r="G136" s="470"/>
      <c r="H136" s="464"/>
      <c r="I136" s="460"/>
      <c r="J136" s="483"/>
    </row>
    <row r="137" spans="1:10" ht="15.95" customHeight="1" x14ac:dyDescent="0.5">
      <c r="A137" s="469"/>
      <c r="B137" s="469"/>
      <c r="C137" s="106" t="s">
        <v>189</v>
      </c>
      <c r="D137" s="165"/>
      <c r="E137" s="32"/>
      <c r="F137" s="117" t="str">
        <f>IF(E137="","",  IF($G$4="&lt; 20 %",ROUND(IF(E137&gt;=566,1,E137*'Reference Curves'!$G$61+'Reference Curves'!$G$62),2)))</f>
        <v/>
      </c>
      <c r="G137" s="470"/>
      <c r="H137" s="464"/>
      <c r="I137" s="460"/>
      <c r="J137" s="483"/>
    </row>
    <row r="138" spans="1:10" ht="15.95" customHeight="1" x14ac:dyDescent="0.5">
      <c r="A138" s="469"/>
      <c r="B138" s="469"/>
      <c r="C138" s="106" t="s">
        <v>145</v>
      </c>
      <c r="D138" s="165"/>
      <c r="E138" s="32"/>
      <c r="F138" s="117" t="str">
        <f>IF(E138="","", ROUND(IF(E138&gt;=75,1,E138*'Reference Curves'!$G$65+'Reference Curves'!$G$66),2))</f>
        <v/>
      </c>
      <c r="G138" s="470"/>
      <c r="H138" s="464"/>
      <c r="I138" s="460"/>
      <c r="J138" s="483"/>
    </row>
    <row r="139" spans="1:10" ht="15.95" customHeight="1" x14ac:dyDescent="0.5">
      <c r="A139" s="469"/>
      <c r="B139" s="469"/>
      <c r="C139" s="106" t="s">
        <v>190</v>
      </c>
      <c r="D139" s="165"/>
      <c r="E139" s="32"/>
      <c r="F139" s="117" t="str">
        <f>IF(E139="","",IF(E139&gt;=100,0,ROUND(IF(E139&lt;=0,1,E139*'Reference Curves'!$G$69+'Reference Curves'!$G$70),2)))</f>
        <v/>
      </c>
      <c r="G139" s="470"/>
      <c r="H139" s="464"/>
      <c r="I139" s="460"/>
      <c r="J139" s="483"/>
    </row>
    <row r="140" spans="1:10" s="48" customFormat="1" ht="15.95" customHeight="1" x14ac:dyDescent="0.5">
      <c r="A140" s="469"/>
      <c r="B140" s="463"/>
      <c r="C140" s="106" t="s">
        <v>191</v>
      </c>
      <c r="D140" s="165"/>
      <c r="E140" s="32"/>
      <c r="F140" s="117"/>
      <c r="G140" s="455"/>
      <c r="H140" s="464"/>
      <c r="I140" s="460"/>
      <c r="J140" s="483"/>
    </row>
    <row r="141" spans="1:10" ht="15.95" customHeight="1" x14ac:dyDescent="0.5">
      <c r="A141" s="469"/>
      <c r="B141" s="462" t="s">
        <v>38</v>
      </c>
      <c r="C141" s="108" t="s">
        <v>192</v>
      </c>
      <c r="D141" s="163"/>
      <c r="E141" s="11"/>
      <c r="F141" s="24" t="str">
        <f>IF(E141="","",
IF($D118="Bc", ROUND(IF(E141&lt;=5,1,
IF(E141&gt;=8,0,
IF(E141&lt;6,E141*'Reference Curves'!$G$79+'Reference Curves'!$G$80,E141*'Reference Curves'!$H$79+'Reference Curves'!$H$80))),2),       IF(OR(LEFT($D118,1)="B",LEFT($D118,1)="A"),
ROUND(IF(E141&lt;=4,1,
IF(E141&gt;=6.5,0,
IF(E141&lt;5,E141*'Reference Curves'!$G$74+'Reference Curves'!$G$75, E141*'Reference Curves'!$H$74+'Reference Curves'!$H$75))),2),   IF(OR(LEFT($D118,1)="E",LEFT($D118,1)="C"),
ROUND(IF(OR(E141&gt;=9,E141&lt;=1),0,
IF(AND(E141&gt;=3.5,E141&lt;=6),1,
IF(E141&lt;3.5,E141*'Reference Curves'!$G$84+'Reference Curves'!$G$85,
E141*'Reference Curves'!$H$84+'Reference Curves'!$H$85))),2)))))</f>
        <v/>
      </c>
      <c r="G141" s="454" cm="1">
        <f t="array" ref="G141">IF(OR(D118="D",D118="DA"),"",IF(OR(F141&lt;&gt;"",F142&lt;&gt;"",F143&lt;&gt;""),AVERAGE(F141:F143),_xlfn.IFS(B117="Secondary",'Functional Loss'!$H$26,B117="Tertiary",'Functional Loss'!$H$28,TRUE,'Functional Loss'!$H$23)))</f>
        <v>1</v>
      </c>
      <c r="H141" s="464"/>
      <c r="I141" s="460"/>
      <c r="J141" s="483"/>
    </row>
    <row r="142" spans="1:10" ht="15.95" customHeight="1" x14ac:dyDescent="0.5">
      <c r="A142" s="469"/>
      <c r="B142" s="469"/>
      <c r="C142" s="106" t="s">
        <v>193</v>
      </c>
      <c r="D142" s="165"/>
      <c r="E142" s="14"/>
      <c r="F142" s="8" t="str">
        <f>IF(E142="","",IF(LEFT($D118,1)="A",
IF(E142&gt;=1.7,1,
IF(E142&lt;=1,0,
ROUND(IF(E142&lt;=1.1,'Reference Curves'!$G$89+'Reference Curves'!$G$90,
(IF(E142&gt;=1.4,E142*'Reference Curves'!$I$89+'Reference Curves'!$I$90,
E142*'Reference Curves'!$H$89+'Reference Curves'!$H$90))),2))),            IF(LEFT($D118,1)="B",
IF(E142&gt;=2.9,1,
IF(E142&lt;=1,0,
ROUND(IF(E142&lt;=2,E142*'Reference Curves'!$G$94+'Reference Curves'!$G$95,
(IF(E142&gt;=2.3,E142*'Reference Curves'!$I$94+'Reference Curves'!$I$95,
E142*'Reference Curves'!$H$94+'Reference Curves'!$H$95))),2))),     IF(LEFT($D118,1)="C",
IF(E142&gt;=2.3,1,
IF(E142&lt;=1,0,
ROUND(IF(E142&lt;=1.2,E142*'Reference Curves'!$G$99+'Reference Curves'!$G$100,
IF(E142&gt;=1.9, E142*'Reference Curves'!$I$99+'Reference Curves'!$I$100,
E142*'Reference Curves'!$H$99+'Reference Curves'!$H$100)),2))),          IF(LEFT($D118,1)="E",
IF(E142&gt;=2.1,1,
IF(E142&lt;=1,0,
ROUND(IF(E142&gt;=1.7, E142*'Reference Curves'!$I$104+'Reference Curves'!$I$105, IF(E142&lt;=1.4,
E142*'Reference Curves'!$G$104+'Reference Curves'!$G$105,E142*'Reference Curves'!$H$104+'Reference Curves'!$H$105)),2))))))))</f>
        <v/>
      </c>
      <c r="G142" s="470"/>
      <c r="H142" s="464"/>
      <c r="I142" s="460"/>
      <c r="J142" s="483"/>
    </row>
    <row r="143" spans="1:10" ht="15.95" customHeight="1" x14ac:dyDescent="0.5">
      <c r="A143" s="469"/>
      <c r="B143" s="463"/>
      <c r="C143" s="109" t="s">
        <v>80</v>
      </c>
      <c r="D143" s="161"/>
      <c r="E143" s="14"/>
      <c r="F143" s="118" t="str">
        <f>IF(E143="","",IF(OR(LEFT($D118,1)="F",LEFT($D118,1)="G",LEFT($D118,1)="D"),"FALSE",
IF(LEFT($D118,1)="A",
ROUND(IF(OR(E143&gt;=100,E143&lt;=0),0,IF(E143&lt;=54,E143*'Reference Curves'!$G$109+'Reference Curves'!$G$110,
IF(E143&gt;=62,E143*'Reference Curves'!$H$109+'Reference Curves'!$H$110,1))),2),IF(LEFT($D118,1)="B",
ROUND(IF(OR(E143&gt;=100,E143&lt;=0),0,IF(E143&lt;=53,E143*'Reference Curves'!$G$114+'Reference Curves'!$G$115,
IF(E143&gt;=61,E143*'Reference Curves'!$H$114+'Reference Curves'!$H$115,1))),2),
IF(LEFT($D118,1)="C",
ROUND(IF(OR(E143&gt;=100,E143&lt;=0),0,
IF(E143&lt;45,E143*'Reference Curves'!$G$119+'Reference Curves'!$G$120,
IF(E143&gt;=64,E143*'Reference Curves'!$H$119+'Reference Curves'!$H$120,1))),2),
IF(LEFT($D118,1)="E",
ROUND(IF(OR(E143&gt;=100,E143&lt;=0),0,
IF(E143&lt;43,E143*'Reference Curves'!$G$124+'Reference Curves'!$G$125,
IF(E143&gt;=63,E143*'Reference Curves'!$H$124+'Reference Curves'!$H$125,1))),2),))))))</f>
        <v/>
      </c>
      <c r="G143" s="470"/>
      <c r="H143" s="464"/>
      <c r="I143" s="461"/>
      <c r="J143" s="483"/>
    </row>
    <row r="144" spans="1:10" ht="15.95" customHeight="1" x14ac:dyDescent="0.5">
      <c r="A144" s="485" t="s">
        <v>40</v>
      </c>
      <c r="B144" s="249" t="s">
        <v>103</v>
      </c>
      <c r="C144" s="267" t="s">
        <v>235</v>
      </c>
      <c r="D144" s="98"/>
      <c r="E144" s="26"/>
      <c r="F144" s="119" t="str">
        <f>IF(E144="","",IF($G119="Coldwater",IF(E144&gt;=77,0,IF(E144&lt;=58.04,1,ROUND(E144*'Reference Curves'!$P$6+'Reference Curves'!$P$7,2)))))</f>
        <v/>
      </c>
      <c r="G144" s="120" cm="1">
        <f t="array" ref="G144">IF(G119="Warmwater","", IF(F144&lt;&gt;"",AVERAGE(F144),_xlfn.IFS(B117="Secondary",'Functional Loss'!$H$26,B117="Tertiary",'Functional Loss'!$H$28,TRUE,'Functional Loss'!$H$23)))</f>
        <v>1</v>
      </c>
      <c r="H144" s="465">
        <f>IFERROR(ROUND(AVERAGE(G144:G149),2),"")</f>
        <v>1</v>
      </c>
      <c r="I144" s="480" t="str">
        <f>IF(H144="","",IF(H144&gt;0.69,"Functioning",IF(H144&gt;0.29,"Functioning At Risk",IF(H144&gt;-1,"Not Functioning"))))</f>
        <v>Functioning</v>
      </c>
      <c r="J144" s="483"/>
    </row>
    <row r="145" spans="1:10" ht="15.95" customHeight="1" x14ac:dyDescent="0.5">
      <c r="A145" s="486"/>
      <c r="B145" s="81" t="s">
        <v>127</v>
      </c>
      <c r="C145" s="268" t="s">
        <v>370</v>
      </c>
      <c r="D145" s="99"/>
      <c r="E145" s="26"/>
      <c r="F145" s="119" t="str">
        <f>IF(E145="","",
ROUND(IF(E145&gt;='Reference Curves'!$P$16,0,
IF(E145&lt;=35,1,
IF(E145&gt;=121,E145*'Reference Curves'!$P$11+'Reference Curves'!$P$12,
E145*'Reference Curves'!$Q$11+'Reference Curves'!$Q$12))),2))</f>
        <v/>
      </c>
      <c r="G145" s="119" cm="1">
        <f t="array" ref="G145">IF(F145&lt;&gt;"",AVERAGE(F145),_xlfn.IFS(B117="Secondary",'Functional Loss'!$H$26,B117="Tertiary", 'Functional Loss'!$H$28, TRUE, 'Functional Loss'!$H$23))</f>
        <v>1</v>
      </c>
      <c r="H145" s="488"/>
      <c r="I145" s="489"/>
      <c r="J145" s="483"/>
    </row>
    <row r="146" spans="1:10" ht="15.95" customHeight="1" x14ac:dyDescent="0.5">
      <c r="A146" s="486"/>
      <c r="B146" s="100" t="s">
        <v>196</v>
      </c>
      <c r="C146" s="100" t="s">
        <v>197</v>
      </c>
      <c r="D146" s="101"/>
      <c r="E146" s="14"/>
      <c r="F146" s="119" t="str">
        <f>IF(E146="","",
IF(E146&gt;=2.3,0,
IF(E146&lt;=0.4,1,
ROUND(IF(E146&lt;0.8,E146*'Reference Curves'!$Q$21+'Reference Curves'!$Q$22,E146*'Reference Curves'!$P$21+'Reference Curves'!$P$22),2))))</f>
        <v/>
      </c>
      <c r="G146" s="119" cm="1">
        <f t="array" ref="G146">IF(F146&lt;&gt;"",AVERAGE(F146),_xlfn.IFS(B117="Secondary",'Functional Loss'!$H$26, B117="Tertiary", 'Functional Loss'!$H$28, TRUE, 'Functional Loss'!$H$23))</f>
        <v>1</v>
      </c>
      <c r="H146" s="488"/>
      <c r="I146" s="489"/>
      <c r="J146" s="483"/>
    </row>
    <row r="147" spans="1:10" ht="15.95" customHeight="1" x14ac:dyDescent="0.5">
      <c r="A147" s="486"/>
      <c r="B147" s="100" t="s">
        <v>198</v>
      </c>
      <c r="C147" s="263" t="s">
        <v>199</v>
      </c>
      <c r="D147" s="269"/>
      <c r="E147" s="11"/>
      <c r="F147" s="119" t="str">
        <f>IF(E147="","",
IF(E147&gt;=0.2,0,
IF(E147&lt;=0.04,1,
ROUND(IF(E147&lt;0.08,E147*'Reference Curves'!$Q$26+'Reference Curves'!$Q$27,
E147*'Reference Curves'!$P$26+'Reference Curves'!$P$27),2))))</f>
        <v/>
      </c>
      <c r="G147" s="119" cm="1">
        <f t="array" ref="G147">IF(F147&lt;&gt;"",AVERAGE(F147),_xlfn.IFS(B117="Secondary",'Functional Loss'!$H$26, B117="Tertiary", 'Functional Loss'!$H$28, TRUE, 'Functional Loss'!$H$23))</f>
        <v>1</v>
      </c>
      <c r="H147" s="488"/>
      <c r="I147" s="489"/>
      <c r="J147" s="483"/>
    </row>
    <row r="148" spans="1:10" ht="15.95" customHeight="1" x14ac:dyDescent="0.5">
      <c r="A148" s="486"/>
      <c r="B148" s="490" t="s">
        <v>371</v>
      </c>
      <c r="C148" s="263" t="s">
        <v>372</v>
      </c>
      <c r="D148" s="270"/>
      <c r="E148" s="271"/>
      <c r="F148" s="119" t="str">
        <f>IF(E148="","",
IF(E148&gt;=100,0,
IF(E148&lt;=10,1,
ROUND(IF(E148&lt;50,E148*'Reference Curves'!$Q$32+'Reference Curves'!$Q$33,
E148*'Reference Curves'!$P$32+'Reference Curves'!$P$33),2)
)))</f>
        <v/>
      </c>
      <c r="G148" s="465" cm="1">
        <f t="array" ref="G148">IF(OR(F148&lt;&gt;"",F149&lt;&gt;""),AVERAGE(F148:F149), _xlfn.IFS(B117="Secondary",'Functional Loss'!$H$26,B117="Tertiary", 'Functional Loss'!$H$28, TRUE, 'Functional Loss'!$H$23))</f>
        <v>1</v>
      </c>
      <c r="H148" s="488"/>
      <c r="I148" s="489"/>
      <c r="J148" s="483"/>
    </row>
    <row r="149" spans="1:10" ht="15.95" customHeight="1" x14ac:dyDescent="0.5">
      <c r="A149" s="487"/>
      <c r="B149" s="491"/>
      <c r="C149" s="266" t="s">
        <v>373</v>
      </c>
      <c r="D149" s="264"/>
      <c r="E149" s="16"/>
      <c r="F149" s="265" t="str">
        <f>IF(E149="","",
IF(E149&gt;=100,0,
IF(E149&lt;=10,1,
ROUND(IF(E149&lt;50,E149*'Reference Curves'!$Q$32+'Reference Curves'!$Q$33,
E149*'Reference Curves'!$P$32+'Reference Curves'!$P$33),2)
)))</f>
        <v/>
      </c>
      <c r="G149" s="466"/>
      <c r="H149" s="466"/>
      <c r="I149" s="481"/>
      <c r="J149" s="483"/>
    </row>
    <row r="150" spans="1:10" ht="15.95" customHeight="1" x14ac:dyDescent="0.5">
      <c r="A150" s="476" t="s">
        <v>41</v>
      </c>
      <c r="B150" s="211" t="s">
        <v>81</v>
      </c>
      <c r="C150" s="56" t="s">
        <v>200</v>
      </c>
      <c r="D150" s="57"/>
      <c r="E150" s="273"/>
      <c r="F150" s="274" t="str">
        <f>IF(E150="","",
IF($D116="Blue Ridge Mountains",
ROUND(IF(E150&lt;=0,0,
IF(E150&gt;=36,1,
IF(E150&lt;=19,E150*'Reference Curves'!$S$6+'Reference Curves'!$S$7,
IF(E150&gt;=28, E150*'Reference Curves'!$U$6+'Reference Curves'!$U$7,
E150*'Reference Curves'!$T$6+'Reference Curves'!$T$7 )))),2),
IF($D116="Piedmont",
ROUND(IF(E150&lt;=0,0,
IF(E150&gt;=28,1,
IF(E150&lt;=14,E150*'Reference Curves'!$S$11+'Reference Curves'!$S$12,
IF(E150&gt;=21, E150*'Reference Curves'!$U$11+'Reference Curves'!$U$12,
E150*'Reference Curves'!$T$11+'Reference Curves'!$T$12)))),2),
IF(OR($D116="Southeastern Plains",$D116="Middle Atlantic Coastal Plain"),
ROUND(IF(E150&lt;=0,0,
IF(E150&gt;=15,1,
IF(E150&lt;=5, E150*'Reference Curves'!$S$16+'Reference Curves'!$S$17,
IF(E150&gt;=10,E150*'Reference Curves'!$U$16+'Reference Curves'!$U$17,
E150*'Reference Curves'!$T$16+'Reference Curves'!$T$17)))),2)))))</f>
        <v/>
      </c>
      <c r="G150" s="272" cm="1">
        <f t="array" ref="G150">IF(F150&lt;&gt;"",AVERAGE(F150),_xlfn.IFS(B117="Secondary",'Functional Loss'!$H$26, B117="Tertiary", 'Functional Loss'!$H$28, TRUE, 'Functional Loss'!$H$23))</f>
        <v>1</v>
      </c>
      <c r="H150" s="478">
        <f>IFERROR(ROUND(AVERAGE(G150:G151),2),"")</f>
        <v>1</v>
      </c>
      <c r="I150" s="480" t="str">
        <f>IF(H150="","",IF(H150&gt;0.69,"Functioning",IF(H150&gt;0.29,"Functioning At Risk",IF(H150&gt;-1,"Not Functioning"))))</f>
        <v>Functioning</v>
      </c>
      <c r="J150" s="483"/>
    </row>
    <row r="151" spans="1:10" s="48" customFormat="1" ht="15.95" customHeight="1" x14ac:dyDescent="0.5">
      <c r="A151" s="477"/>
      <c r="B151" s="211" t="s">
        <v>45</v>
      </c>
      <c r="C151" s="57" t="s">
        <v>374</v>
      </c>
      <c r="D151" s="57"/>
      <c r="E151" s="275"/>
      <c r="F151" s="210" t="str">
        <f>IF(E151="","",
IF($G120="1 - Upland Santee/Pee-Dee Basin",
IF(E151&lt;-1,0,
IF(E151&gt;1,1,
ROUND(IF(E151&gt;=0.05,E151*'Reference Curves'!$T$21+'Reference Curves'!$T$22,
E151*'Reference Curves'!$S$21+'Reference Curves'!$S$22),2))),
IF($G120="2 - Upland Savannah",
IF(E151&lt;-1,0,
IF(E151&gt;1,1,
ROUND(IF(E151&gt;=0.002,E151*'Reference Curves'!$T$26+'Reference Curves'!$T$27,
E151*'Reference Curves'!$S$26+'Reference Curves'!$S$27),2))),
IF($G120="3 - Lowland Perennial",
IF(E151&lt;-1,0,
IF(E151&gt;1,1,
ROUND(IF(E151&gt;=0.005,E151*'Reference Curves'!$T$31+'Reference Curves'!$T$32,
E151*'Reference Curves'!$S$31+'Reference Curves'!$S$32),2))),
IF($G120="4 - Lowland Stable Baseflow",
IF(E151&lt;-1,0,
IF(E151&gt;1,1,
ROUND(IF(E151&gt;=0.3,E151*'Reference Curves'!$T$36+'Reference Curves'!$T$37,
E151*'Reference Curves'!$S$36+'Reference Curves'!$S$37),2))))))))</f>
        <v/>
      </c>
      <c r="G151" s="120" cm="1">
        <f t="array" ref="G151">IF(F151&lt;&gt;"",AVERAGE(F151),_xlfn.IFS(B117="Secondary",'Functional Loss'!$H$26, B117="Tertiary", 'Functional Loss'!$H$28, TRUE, 'Functional Loss'!$H$23))</f>
        <v>1</v>
      </c>
      <c r="H151" s="479"/>
      <c r="I151" s="481"/>
      <c r="J151" s="484"/>
    </row>
    <row r="152" spans="1:10" s="48" customFormat="1" ht="14.1" customHeight="1" x14ac:dyDescent="0.45">
      <c r="I152" s="27"/>
    </row>
    <row r="153" spans="1:10" ht="30" customHeight="1" x14ac:dyDescent="0.65">
      <c r="A153" s="500" t="s">
        <v>395</v>
      </c>
      <c r="B153" s="501"/>
      <c r="C153" s="501"/>
      <c r="D153" s="501"/>
      <c r="E153" s="501"/>
      <c r="F153" s="501"/>
      <c r="G153" s="501"/>
      <c r="H153" s="501"/>
      <c r="I153" s="501"/>
      <c r="J153" s="502"/>
    </row>
    <row r="154" spans="1:10" ht="32.25" customHeight="1" x14ac:dyDescent="0.45">
      <c r="A154" s="121" t="s">
        <v>59</v>
      </c>
      <c r="B154" s="122">
        <f>'Project Summary'!$A14</f>
        <v>0</v>
      </c>
      <c r="C154" s="282" t="s">
        <v>146</v>
      </c>
      <c r="D154" s="283"/>
      <c r="E154" s="59" t="s">
        <v>236</v>
      </c>
      <c r="F154" s="121"/>
      <c r="G154" s="467"/>
      <c r="H154" s="468"/>
      <c r="I154" s="127" t="s">
        <v>95</v>
      </c>
      <c r="J154" s="123"/>
    </row>
    <row r="155" spans="1:10" ht="31.5" x14ac:dyDescent="0.45">
      <c r="A155" s="121" t="s">
        <v>201</v>
      </c>
      <c r="B155" s="122">
        <f>'Project Summary'!D14</f>
        <v>0</v>
      </c>
      <c r="C155" s="282" t="s">
        <v>60</v>
      </c>
      <c r="D155" s="284"/>
      <c r="E155" s="59" t="s">
        <v>237</v>
      </c>
      <c r="F155" s="124"/>
      <c r="G155" s="467"/>
      <c r="H155" s="468"/>
      <c r="I155" s="127" t="s">
        <v>96</v>
      </c>
      <c r="J155" s="123"/>
    </row>
    <row r="156" spans="1:10" ht="31.5" customHeight="1" x14ac:dyDescent="0.45">
      <c r="A156" s="121" t="s">
        <v>316</v>
      </c>
      <c r="B156" s="122">
        <f>'Functional Loss'!D13</f>
        <v>0</v>
      </c>
      <c r="C156" s="282" t="s">
        <v>94</v>
      </c>
      <c r="D156" s="284"/>
      <c r="E156" s="503" t="s">
        <v>346</v>
      </c>
      <c r="F156" s="504"/>
      <c r="G156" s="467"/>
      <c r="H156" s="468"/>
      <c r="I156" s="127" t="s">
        <v>97</v>
      </c>
      <c r="J156" s="123"/>
    </row>
    <row r="157" spans="1:10" ht="31.5" x14ac:dyDescent="0.45">
      <c r="A157" s="95" t="s">
        <v>392</v>
      </c>
      <c r="B157" s="122">
        <f>'Project Summary'!C14</f>
        <v>0</v>
      </c>
      <c r="C157" s="282" t="s">
        <v>73</v>
      </c>
      <c r="D157" s="284"/>
      <c r="E157" s="59" t="s">
        <v>147</v>
      </c>
      <c r="F157" s="126"/>
      <c r="G157" s="467"/>
      <c r="H157" s="468"/>
      <c r="I157" s="127" t="s">
        <v>98</v>
      </c>
      <c r="J157" s="123"/>
    </row>
    <row r="158" spans="1:10" ht="31.5" customHeight="1" x14ac:dyDescent="0.45">
      <c r="A158" s="59" t="s">
        <v>148</v>
      </c>
      <c r="B158" s="122">
        <f>'Project Summary'!B14</f>
        <v>0</v>
      </c>
      <c r="C158" s="282" t="s">
        <v>396</v>
      </c>
      <c r="D158" s="123"/>
      <c r="E158" s="472" t="s">
        <v>355</v>
      </c>
      <c r="F158" s="472"/>
      <c r="G158" s="467"/>
      <c r="H158" s="468"/>
      <c r="I158" s="121" t="s">
        <v>226</v>
      </c>
      <c r="J158" s="197"/>
    </row>
    <row r="159" spans="1:10" ht="28.5" customHeight="1" x14ac:dyDescent="0.65">
      <c r="A159" s="473" t="s">
        <v>39</v>
      </c>
      <c r="B159" s="473"/>
      <c r="C159" s="473"/>
      <c r="D159" s="473"/>
      <c r="E159" s="473"/>
      <c r="F159" s="473"/>
      <c r="G159" s="336" t="s">
        <v>348</v>
      </c>
      <c r="H159" s="336"/>
      <c r="I159" s="336"/>
      <c r="J159" s="336"/>
    </row>
    <row r="160" spans="1:10" ht="15.75" x14ac:dyDescent="0.5">
      <c r="A160" s="12" t="s">
        <v>1</v>
      </c>
      <c r="B160" s="12" t="s">
        <v>166</v>
      </c>
      <c r="C160" s="474" t="s">
        <v>165</v>
      </c>
      <c r="D160" s="475"/>
      <c r="E160" s="12" t="s">
        <v>8</v>
      </c>
      <c r="F160" s="171" t="s">
        <v>9</v>
      </c>
      <c r="G160" s="12" t="s">
        <v>10</v>
      </c>
      <c r="H160" s="12" t="s">
        <v>11</v>
      </c>
      <c r="I160" s="28" t="s">
        <v>11</v>
      </c>
      <c r="J160" s="12" t="s">
        <v>82</v>
      </c>
    </row>
    <row r="161" spans="1:10" ht="15.95" customHeight="1" x14ac:dyDescent="0.5">
      <c r="A161" s="492" t="s">
        <v>42</v>
      </c>
      <c r="B161" s="494" t="s">
        <v>65</v>
      </c>
      <c r="C161" s="166" t="s">
        <v>181</v>
      </c>
      <c r="D161" s="102"/>
      <c r="E161" s="11"/>
      <c r="F161" s="110" t="str">
        <f>IF(E161="","",IF(E161&gt;78,0,IF(E161&lt;55,1,ROUND(E161*'Reference Curves'!$B$6+'Reference Curves'!$B$7,2))))</f>
        <v/>
      </c>
      <c r="G161" s="454" cm="1">
        <f t="array" ref="G161">IF(OR(F161&lt;&gt;"",F162&lt;&gt;""),AVERAGE(F161:F162),_xlfn.IFS(B155="Secondary",'Functional Loss'!$H$26,B155="Tertiary",'Functional Loss'!$H$28,TRUE,'Functional Loss'!$H$23))</f>
        <v>1</v>
      </c>
      <c r="H161" s="496">
        <f>IFERROR(ROUND(AVERAGE(G161),2),"")</f>
        <v>1</v>
      </c>
      <c r="I161" s="498" t="str">
        <f>IF(H161="","",IF(H161&gt;0.69,"Functioning",IF(H161&gt;0.29,"Functioning At Risk",IF(H161&gt;-1,"Not Functioning"))))</f>
        <v>Functioning</v>
      </c>
      <c r="J161" s="482">
        <f>IF(AND(H161="",H163="",H166="",H182="",H188=""),"",ROUND((IF(H161="",0,H161)*0.2)+(IF(H163="",0,H163)*0.2)+(IF(H166="",0,H166)*0.2)+(IF(H182="",0,H182)*0.2)+(IF(H188="",0,H188)*0.2),2))</f>
        <v>1</v>
      </c>
    </row>
    <row r="162" spans="1:10" ht="15.95" customHeight="1" x14ac:dyDescent="0.5">
      <c r="A162" s="493"/>
      <c r="B162" s="495"/>
      <c r="C162" s="167" t="s">
        <v>143</v>
      </c>
      <c r="D162" s="103"/>
      <c r="E162" s="15"/>
      <c r="F162" s="111" t="str">
        <f>IF(E162="","",IF(E162&gt;3.33,0,IF(E162=0,1,ROUND(E162*'Reference Curves'!$B$10+'Reference Curves'!$B$11,2))))</f>
        <v/>
      </c>
      <c r="G162" s="455"/>
      <c r="H162" s="497"/>
      <c r="I162" s="498"/>
      <c r="J162" s="483"/>
    </row>
    <row r="163" spans="1:10" ht="15.95" customHeight="1" x14ac:dyDescent="0.5">
      <c r="A163" s="499" t="s">
        <v>2</v>
      </c>
      <c r="B163" s="452" t="s">
        <v>3</v>
      </c>
      <c r="C163" s="104" t="s">
        <v>182</v>
      </c>
      <c r="D163" s="104"/>
      <c r="E163" s="14"/>
      <c r="F163" s="60" t="str">
        <f>IF(E163="","",ROUND(IF(OR(E163&gt;1.71,E163&lt;0.34),0,IF(E163&lt;=1,1,E163*'Reference Curves'!$D$5+'Reference Curves'!$D$6)),2))</f>
        <v/>
      </c>
      <c r="G163" s="454" cm="1">
        <f t="array" ref="G163">IF(OR(F163&lt;&gt;"",F164&lt;&gt;""),AVERAGE(F163:F164), _xlfn.IFS(B155="Secondary",'Functional Loss'!$H$26,B155="Tertiary", 'Functional Loss'!$H$28, TRUE, 'Functional Loss'!$H$23))</f>
        <v>1</v>
      </c>
      <c r="H163" s="456">
        <f>IFERROR(ROUND(AVERAGE(G163:G165),2),"")</f>
        <v>1</v>
      </c>
      <c r="I163" s="459" t="str">
        <f>IF(H163="","",IF(H163&gt;0.69,"Functioning",IF(H163&gt;0.29,"Functioning At Risk",IF(H163&gt;-1,"Not Functioning"))))</f>
        <v>Functioning</v>
      </c>
      <c r="J163" s="483"/>
    </row>
    <row r="164" spans="1:10" ht="15.95" customHeight="1" x14ac:dyDescent="0.5">
      <c r="A164" s="452"/>
      <c r="B164" s="453"/>
      <c r="C164" s="105" t="s">
        <v>183</v>
      </c>
      <c r="D164" s="105"/>
      <c r="E164" s="15"/>
      <c r="F164" s="112" t="str">
        <f>IF(E164="","",
IF(LEFT($D156,1)="C",
ROUND(IF(E164&gt;=7.3,1,
IF(E164&lt;=1,0,
IF(E164&lt;=2.2, E164*'Reference Curves'!$D$10+'Reference Curves'!$D$11, E164*'Reference Curves'!$E$10+'Reference Curves'!$E$11))),2),
IF(LEFT($D156,1)="B",
ROUND(IF(E164&gt;=2,1,
IF(E164&lt;=1,0,
IF(E164&lt;=1.4,E164*'Reference Curves'!$D$20+'Reference Curves'!$D$21,E164*'Reference Curves'!$E$20+'Reference Curves'!$E$21))),2), IF(OR(LEFT($D156,1)="E"), ROUND(IF(E164&gt;=10,1,
IF(E164&lt;=1,0,
IF(E164&lt;=2.2,  E164*'Reference Curves'!$D$15+'Reference Curves'!$D$16,
E164*'Reference Curves'!$E$15+'Reference Curves'!$E$16))),2)))))</f>
        <v/>
      </c>
      <c r="G164" s="455"/>
      <c r="H164" s="457"/>
      <c r="I164" s="460"/>
      <c r="J164" s="483"/>
    </row>
    <row r="165" spans="1:10" ht="15.95" customHeight="1" x14ac:dyDescent="0.5">
      <c r="A165" s="453"/>
      <c r="B165" s="248" t="s">
        <v>184</v>
      </c>
      <c r="C165" s="104" t="s">
        <v>185</v>
      </c>
      <c r="D165" s="104"/>
      <c r="E165" s="14"/>
      <c r="F165" s="60" t="str">
        <f>IF(E165="","",(IF(E165&gt;=1.8,0,  IF(E165=1,1,ROUND(IF(E165&gt;1,E165*'Reference Curves'!$E$25+'Reference Curves'!$E$26, IF(E163&gt;1.2, IF(E165&lt;=0.2,0,E165*'Reference Curves'!$D$25+'Reference Curves'!$D$26),1)),2)))))</f>
        <v/>
      </c>
      <c r="G165" s="120" cm="1">
        <f t="array" ref="G165">IF(OR(D156="D",D156="DA"),"",IF(F165&lt;&gt;"",IFERROR(AVERAGE(F165),""),_xlfn.IFS(B155="Secondary",'Functional Loss'!$H$26, B155="Tertiary", 'Functional Loss'!$H$28, TRUE, 'Functional Loss'!$H$23)))</f>
        <v>1</v>
      </c>
      <c r="H165" s="458"/>
      <c r="I165" s="461"/>
      <c r="J165" s="483"/>
    </row>
    <row r="166" spans="1:10" ht="15.95" customHeight="1" x14ac:dyDescent="0.5">
      <c r="A166" s="462" t="s">
        <v>14</v>
      </c>
      <c r="B166" s="462" t="s">
        <v>15</v>
      </c>
      <c r="C166" s="162" t="s">
        <v>13</v>
      </c>
      <c r="D166" s="163"/>
      <c r="E166" s="11"/>
      <c r="F166" s="113" t="str">
        <f>IF(E166="","",ROUND(IF(E166&gt;=731,1,IF(E166&lt;=0,0,IF(E166&lt;355,E166*'Reference Curves'!$G$6+'Reference Curves'!$G$7,E166*'Reference Curves'!$H$6+'Reference Curves'!$H$7))),2))</f>
        <v/>
      </c>
      <c r="G166" s="454" cm="1">
        <f t="array" ref="G166">IF(OR(F166&lt;&gt;"",F167&lt;&gt;""),AVERAGE(F166:F167), _xlfn.IFS(B155="Secondary",'Functional Loss'!$H$26,B155="Tertiary", 'Functional Loss'!$H$28, TRUE, 'Functional Loss'!$H$23))</f>
        <v>1</v>
      </c>
      <c r="H166" s="464">
        <f>IFERROR(ROUND(AVERAGE(G166:G181),2),"")</f>
        <v>1</v>
      </c>
      <c r="I166" s="459" t="str">
        <f>IF(H166="","",IF(H166&gt;0.69,"Functioning",IF(H166&gt;0.29,"Functioning At Risk",IF(H166&gt;-1,"Not Functioning"))))</f>
        <v>Functioning</v>
      </c>
      <c r="J166" s="483"/>
    </row>
    <row r="167" spans="1:10" ht="15.95" customHeight="1" x14ac:dyDescent="0.5">
      <c r="A167" s="469"/>
      <c r="B167" s="463"/>
      <c r="C167" s="160" t="s">
        <v>186</v>
      </c>
      <c r="D167" s="161"/>
      <c r="E167" s="15"/>
      <c r="F167" s="25" t="str">
        <f>IF(E167="","",ROUND(IF(E167&gt;=28,1,IF(E167&lt;16,E167*'Reference Curves'!$G$11+'Reference Curves'!$G$12,E167*'Reference Curves'!$H$11+'Reference Curves'!$H$12)),2))</f>
        <v/>
      </c>
      <c r="G167" s="455"/>
      <c r="H167" s="464"/>
      <c r="I167" s="460"/>
      <c r="J167" s="483"/>
    </row>
    <row r="168" spans="1:10" ht="15.95" customHeight="1" x14ac:dyDescent="0.5">
      <c r="A168" s="469"/>
      <c r="B168" s="469" t="s">
        <v>92</v>
      </c>
      <c r="C168" s="106" t="s">
        <v>187</v>
      </c>
      <c r="D168" s="106"/>
      <c r="E168" s="114"/>
      <c r="F168" s="24" t="str">
        <f>IF(E168="","",
ROUND(IF(E168&gt;=0.71,0,
IF(E168&lt;=0.1,1,
IF(E168&lt;=0.2,E168*'Reference Curves'!$I$16+'Reference Curves'!$I$17,
IF(E168&gt;=0.4,E168*'Reference Curves'!$G$16+'Reference Curves'!$G$17,
E168*'Reference Curves'!$H$16+'Reference Curves'!$H$17)))),2))</f>
        <v/>
      </c>
      <c r="G168" s="471" cm="1">
        <f t="array" ref="G168">IF(E171&gt;50,0,IF(OR(F168&lt;&gt;"",F169&lt;&gt;"",F170&lt;&gt;"",F171&lt;&gt;""),AVERAGE(F168:F171),_xlfn.IFS(B155="Secondary",'Functional Loss'!$H$26,B155="Tertiary",'Functional Loss'!$H$28,TRUE,'Functional Loss'!$H$23)))</f>
        <v>1</v>
      </c>
      <c r="H168" s="464"/>
      <c r="I168" s="460"/>
      <c r="J168" s="483"/>
    </row>
    <row r="169" spans="1:10" ht="15.95" customHeight="1" x14ac:dyDescent="0.5">
      <c r="A169" s="469"/>
      <c r="B169" s="469"/>
      <c r="C169" s="106" t="s">
        <v>36</v>
      </c>
      <c r="D169" s="106"/>
      <c r="E169" s="115"/>
      <c r="F169" s="8" t="str">
        <f>IF(E169="","",IF(OR(E169="Ex/VL",E169="VH/VL",E169="H/M",E169="H/L",E169="H/VL"),0.2, IF(OR(LEFT(E169,2)="Ex",E169="VH/Ex",E169="VH/VH", E169="VH/H"),0,IF(OR(E169="VH/M",E169="VH/L",E169="H/Ex", E169="H/VH", E169="H/H"),0.1, IF(OR(E169="M/Ex",E169="M/VH"),0.3, IF(E169="M/H",0.4, IF(E169="M/M",0.5, IF(OR(E169="M/L",E169="M/VL"),0.6, IF(E169="L/Ex",0.7, IF(OR(LEFT(E169,1)="L",LEFT(E169,2)="VL"),1))))))))))</f>
        <v/>
      </c>
      <c r="G169" s="471"/>
      <c r="H169" s="464"/>
      <c r="I169" s="460"/>
      <c r="J169" s="483"/>
    </row>
    <row r="170" spans="1:10" ht="15.95" customHeight="1" x14ac:dyDescent="0.5">
      <c r="A170" s="469"/>
      <c r="B170" s="469"/>
      <c r="C170" s="164" t="s">
        <v>48</v>
      </c>
      <c r="D170" s="106"/>
      <c r="E170" s="114"/>
      <c r="F170" s="8" t="str">
        <f>IF(E170="","",ROUND(IF(E170&gt;=50,0,IF(E170&lt;=5,1,IF(E170&gt;11,E170*'Reference Curves'!$G$21+'Reference Curves'!$G$22,E170*'Reference Curves'!$H$21+'Reference Curves'!$H$22))),2))</f>
        <v/>
      </c>
      <c r="G170" s="471"/>
      <c r="H170" s="464"/>
      <c r="I170" s="460"/>
      <c r="J170" s="483"/>
    </row>
    <row r="171" spans="1:10" ht="15.95" customHeight="1" x14ac:dyDescent="0.5">
      <c r="A171" s="469"/>
      <c r="B171" s="469"/>
      <c r="C171" s="107" t="s">
        <v>124</v>
      </c>
      <c r="D171" s="107"/>
      <c r="E171" s="16"/>
      <c r="F171" s="25" t="str">
        <f>IF(E171="","",ROUND(IF(E171&gt;=30,0,E171*'Reference Curves'!$G$25+'Reference Curves'!$G$26),2))</f>
        <v/>
      </c>
      <c r="G171" s="471"/>
      <c r="H171" s="464"/>
      <c r="I171" s="460"/>
      <c r="J171" s="483"/>
    </row>
    <row r="172" spans="1:10" ht="15.95" customHeight="1" x14ac:dyDescent="0.5">
      <c r="A172" s="469"/>
      <c r="B172" s="462" t="s">
        <v>37</v>
      </c>
      <c r="C172" s="108" t="s">
        <v>144</v>
      </c>
      <c r="D172" s="163"/>
      <c r="E172" s="58"/>
      <c r="F172" s="116" t="str">
        <f>IF(E172="","",
IF(AND($G155="Single Family Residential",$G154="&lt; 5 %"),
ROUND(IF(E172&lt;=0,0,IF(E172&gt;=300,1,IF(E172&gt;=50, E172*'Reference Curves'!$H$31 +'Reference Curves'!$H$32,
E172*'Reference Curves'!$G$31 +'Reference Curves'!$G$32))),2),
IF(AND($G155="Single Family Residential",$G154="5 - 20 %"),
ROUND(IF(E172&lt;=0,0,IF(E172&gt;=300,1,IF(E172&gt;=100,E172*'Reference Curves'!$J$31+'Reference Curves'!$J$32,
E172*'Reference Curves'!$I$31+'Reference Curves'!$I$32))),2),
IF(AND($G155="Single Family Residential",$G154="21 - 40 %"),
ROUND(IF(E172&lt;=0,0,IF(E172&gt;=300,1,IF(E172&gt;=150,E172*'Reference Curves'!$L$31+'Reference Curves'!$L$32,
E172*'Reference Curves'!$K$31+'Reference Curves'!$K$32))),2),
IF(AND($G155="Single Family Residential",$G154="&gt; 40 %"),
ROUND(IF(E172&lt;=0,0,IF(E172&gt;=300,1,IF(E172&gt;=200,E172*'Reference Curves'!$N$31+'Reference Curves'!$N$32,
E172*'Reference Curves'!$M$31+'Reference Curves'!$M$32))),2),                           IF(AND($G155="Multi-Family Residential",$G154="&lt; 5 %"),
ROUND(IF(E172&lt;=0,0,IF(E172&gt;=293,1,IF(E172&gt;=60,E172*'Reference Curves'!$H$37+'Reference Curves'!$H$38,
E172*'Reference Curves'!$G$37+'Reference Curves'!$G$38))),2),
IF(AND($G155="Multi-Family Residential",$G154="5 - 20 %"),
ROUND(IF(E172&lt;=0,0,IF(E172&gt;=293,1,IF(E172&gt;=120, E172*'Reference Curves'!$J$37+'Reference Curves'!$J$38,
E172*'Reference Curves'!$I$37+'Reference Curves'!$I$38))),2),
IF(AND($G155="Multi-Family Residential",$G154="21 - 40 %"),
ROUND(IF(E172&lt;=0,0,IF(E172&gt;=300,1, IF(E172&gt;=180, E172*'Reference Curves'!$L$37+'Reference Curves'!$L$38,
E172*'Reference Curves'!$K$37+'Reference Curves'!$K$38))),2),
IF(AND($G155="Multi-Family Residential",$G154="&gt; 40 %"),
ROUND(IF(E172&lt;=0,0,IF(E172&gt;=345,1,E172*'Reference Curves'!$M$37+'Reference Curves'!$M$38)),2),
IF(AND($G155="Commercial / Golf Course / Agriculture / Silviculture", $G154="&lt; 5 %"),
ROUND(IF(E172&lt;=0,0, IF(E172&gt;=300,1, IF(E172&gt;=150,E172*'Reference Curves'!$H$43+'Reference Curves'!$H$44,
E172*'Reference Curves'!$G$43+'Reference Curves'!$G$44))),2),
IF(AND($G155="Commercial / Golf Course / Agriculture / Silviculture", $G154="5 - 20 %"),
ROUND(IF(E172&lt;=0,0, IF(E172&gt;=300,1, IF(E172&gt;=150,E172*'Reference Curves'!$H$43+'Reference Curves'!$H$44,
E172*'Reference Curves'!$G$43+'Reference Curves'!$G$44))),2),
IF(AND($G155="Commercial / Golf Course / Agriculture / Silviculture",$G154="21 - 40 %"),
ROUND(IF(E172&lt;=0,0,IF(E172&gt;=322.5,1, E172*'Reference Curves'!$I$43+'Reference Curves'!$I$44)),2),
IF(AND($G155="Commercial / Golf Course / Agriculture / Silviculture",$G154="&gt; 40 %"),
ROUND(IF(E172&lt;=0,0,IF(E172&gt;=434.7,1,E172*'Reference Curves'!$J$43+'Reference Curves'!$J$44)),2),
                   IF(AND($G155="Industrial / Landfill", $G154="&lt; 5 %"),
ROUND(IF(E172&lt;=0,0,IF(E172&gt;=300,1,IF(E172&gt;=150, E172*'Reference Curves'!$H$49+'Reference Curves'!$H$50,
E172*'Reference Curves'!$G$49+'Reference Curves'!$G$50))),2),
IF(AND($G155="Industrial / Landfill", $G154="5 - 20 %"),
ROUND(IF(E172&lt;=0,0,IF(E172&gt;=357.1,1, E172*'Reference Curves'!$I$49+'Reference Curves'!$I$50)),2),
IF(AND($G155="Industrial / Landfill",$G154="21 - 40 %"),
ROUND(IF(E172&lt;=0,0,IF(E172&gt;=499.9,1, E172*'Reference Curves'!$J$49+'Reference Curves'!$J$50)),2)))))))))))))))))</f>
        <v/>
      </c>
      <c r="G172" s="454" cm="1">
        <f t="array" ref="G172">IF(OR(F172&lt;&gt;"",F173&lt;&gt;"",F174&lt;&gt;"",F175&lt;&gt;"", F176&lt;&gt;"",F177&lt;&gt;""),AVERAGE(F172:F177), _xlfn.IFS(B155="Secondary",'Functional Loss'!$H$26, B155="Tertiary", 'Functional Loss'!$H$28, TRUE, 'Functional Loss'!$H$23))</f>
        <v>1</v>
      </c>
      <c r="H172" s="464"/>
      <c r="I172" s="460"/>
      <c r="J172" s="483"/>
    </row>
    <row r="173" spans="1:10" ht="15.95" customHeight="1" x14ac:dyDescent="0.5">
      <c r="A173" s="469"/>
      <c r="B173" s="469"/>
      <c r="C173" s="106" t="s">
        <v>159</v>
      </c>
      <c r="D173" s="165"/>
      <c r="E173" s="32"/>
      <c r="F173" s="117" t="str">
        <f>IF(E173="","",ROUND(IF(E173&gt;=9.3,1,E173*'Reference Curves'!$G$53+'Reference Curves'!$G$54),2))</f>
        <v/>
      </c>
      <c r="G173" s="470"/>
      <c r="H173" s="464"/>
      <c r="I173" s="460"/>
      <c r="J173" s="483"/>
    </row>
    <row r="174" spans="1:10" ht="15.95" customHeight="1" x14ac:dyDescent="0.5">
      <c r="A174" s="469"/>
      <c r="B174" s="469"/>
      <c r="C174" s="106" t="s">
        <v>188</v>
      </c>
      <c r="D174" s="165"/>
      <c r="E174" s="32"/>
      <c r="F174" s="117" t="str">
        <f>IF(E174="","",ROUND(IF(AND(E174&gt;=135,E174&lt;=262),1,IF(E174&gt;=366,0.5,IF(E174&lt;135,E174*'Reference Curves'!$G$57+'Reference Curves'!$G$58,E174*'Reference Curves'!$H$57+'Reference Curves'!$H$58))),2))</f>
        <v/>
      </c>
      <c r="G174" s="470"/>
      <c r="H174" s="464"/>
      <c r="I174" s="460"/>
      <c r="J174" s="483"/>
    </row>
    <row r="175" spans="1:10" ht="15.95" customHeight="1" x14ac:dyDescent="0.5">
      <c r="A175" s="469"/>
      <c r="B175" s="469"/>
      <c r="C175" s="106" t="s">
        <v>189</v>
      </c>
      <c r="D175" s="165"/>
      <c r="E175" s="32"/>
      <c r="F175" s="117" t="str">
        <f>IF(E175="","",  IF($G$4="&lt; 20 %",ROUND(IF(E175&gt;=566,1,E175*'Reference Curves'!$G$61+'Reference Curves'!$G$62),2)))</f>
        <v/>
      </c>
      <c r="G175" s="470"/>
      <c r="H175" s="464"/>
      <c r="I175" s="460"/>
      <c r="J175" s="483"/>
    </row>
    <row r="176" spans="1:10" ht="15.95" customHeight="1" x14ac:dyDescent="0.5">
      <c r="A176" s="469"/>
      <c r="B176" s="469"/>
      <c r="C176" s="106" t="s">
        <v>145</v>
      </c>
      <c r="D176" s="165"/>
      <c r="E176" s="32"/>
      <c r="F176" s="117" t="str">
        <f>IF(E176="","", ROUND(IF(E176&gt;=75,1,E176*'Reference Curves'!$G$65+'Reference Curves'!$G$66),2))</f>
        <v/>
      </c>
      <c r="G176" s="470"/>
      <c r="H176" s="464"/>
      <c r="I176" s="460"/>
      <c r="J176" s="483"/>
    </row>
    <row r="177" spans="1:10" ht="15.95" customHeight="1" x14ac:dyDescent="0.5">
      <c r="A177" s="469"/>
      <c r="B177" s="469"/>
      <c r="C177" s="106" t="s">
        <v>190</v>
      </c>
      <c r="D177" s="165"/>
      <c r="E177" s="32"/>
      <c r="F177" s="117" t="str">
        <f>IF(E177="","",IF(E177&gt;=100,0,ROUND(IF(E177&lt;=0,1,E177*'Reference Curves'!$G$69+'Reference Curves'!$G$70),2)))</f>
        <v/>
      </c>
      <c r="G177" s="470"/>
      <c r="H177" s="464"/>
      <c r="I177" s="460"/>
      <c r="J177" s="483"/>
    </row>
    <row r="178" spans="1:10" s="48" customFormat="1" ht="15.95" customHeight="1" x14ac:dyDescent="0.5">
      <c r="A178" s="469"/>
      <c r="B178" s="463"/>
      <c r="C178" s="106" t="s">
        <v>191</v>
      </c>
      <c r="D178" s="165"/>
      <c r="E178" s="32"/>
      <c r="F178" s="117"/>
      <c r="G178" s="455"/>
      <c r="H178" s="464"/>
      <c r="I178" s="460"/>
      <c r="J178" s="483"/>
    </row>
    <row r="179" spans="1:10" ht="15.95" customHeight="1" x14ac:dyDescent="0.5">
      <c r="A179" s="469"/>
      <c r="B179" s="462" t="s">
        <v>38</v>
      </c>
      <c r="C179" s="108" t="s">
        <v>192</v>
      </c>
      <c r="D179" s="163"/>
      <c r="E179" s="11"/>
      <c r="F179" s="24" t="str">
        <f>IF(E179="","",
IF($D156="Bc", ROUND(IF(E179&lt;=5,1,
IF(E179&gt;=8,0,
IF(E179&lt;6,E179*'Reference Curves'!$G$79+'Reference Curves'!$G$80,E179*'Reference Curves'!$H$79+'Reference Curves'!$H$80))),2),       IF(OR(LEFT($D156,1)="B",LEFT($D156,1)="A"),
ROUND(IF(E179&lt;=4,1,
IF(E179&gt;=6.5,0,
IF(E179&lt;5,E179*'Reference Curves'!$G$74+'Reference Curves'!$G$75, E179*'Reference Curves'!$H$74+'Reference Curves'!$H$75))),2),   IF(OR(LEFT($D156,1)="E",LEFT($D156,1)="C"),
ROUND(IF(OR(E179&gt;=9,E179&lt;=1),0,
IF(AND(E179&gt;=3.5,E179&lt;=6),1,
IF(E179&lt;3.5,E179*'Reference Curves'!$G$84+'Reference Curves'!$G$85,
E179*'Reference Curves'!$H$84+'Reference Curves'!$H$85))),2)))))</f>
        <v/>
      </c>
      <c r="G179" s="454" cm="1">
        <f t="array" ref="G179">IF(OR(D156="D",D156="DA"),"",IF(OR(F179&lt;&gt;"",F180&lt;&gt;"",F181&lt;&gt;""),AVERAGE(F179:F181),_xlfn.IFS(B155="Secondary",'Functional Loss'!$H$26,B155="Tertiary",'Functional Loss'!$H$28,TRUE,'Functional Loss'!$H$23)))</f>
        <v>1</v>
      </c>
      <c r="H179" s="464"/>
      <c r="I179" s="460"/>
      <c r="J179" s="483"/>
    </row>
    <row r="180" spans="1:10" ht="15.95" customHeight="1" x14ac:dyDescent="0.5">
      <c r="A180" s="469"/>
      <c r="B180" s="469"/>
      <c r="C180" s="106" t="s">
        <v>193</v>
      </c>
      <c r="D180" s="165"/>
      <c r="E180" s="14"/>
      <c r="F180" s="8" t="str">
        <f>IF(E180="","",IF(LEFT($D156,1)="A",
IF(E180&gt;=1.7,1,
IF(E180&lt;=1,0,
ROUND(IF(E180&lt;=1.1,'Reference Curves'!$G$89+'Reference Curves'!$G$90,
(IF(E180&gt;=1.4,E180*'Reference Curves'!$I$89+'Reference Curves'!$I$90,
E180*'Reference Curves'!$H$89+'Reference Curves'!$H$90))),2))),            IF(LEFT($D156,1)="B",
IF(E180&gt;=2.9,1,
IF(E180&lt;=1,0,
ROUND(IF(E180&lt;=2,E180*'Reference Curves'!$G$94+'Reference Curves'!$G$95,
(IF(E180&gt;=2.3,E180*'Reference Curves'!$I$94+'Reference Curves'!$I$95,
E180*'Reference Curves'!$H$94+'Reference Curves'!$H$95))),2))),     IF(LEFT($D156,1)="C",
IF(E180&gt;=2.3,1,
IF(E180&lt;=1,0,
ROUND(IF(E180&lt;=1.2,E180*'Reference Curves'!$G$99+'Reference Curves'!$G$100,
IF(E180&gt;=1.9, E180*'Reference Curves'!$I$99+'Reference Curves'!$I$100,
E180*'Reference Curves'!$H$99+'Reference Curves'!$H$100)),2))),          IF(LEFT($D156,1)="E",
IF(E180&gt;=2.1,1,
IF(E180&lt;=1,0,
ROUND(IF(E180&gt;=1.7, E180*'Reference Curves'!$I$104+'Reference Curves'!$I$105, IF(E180&lt;=1.4,
E180*'Reference Curves'!$G$104+'Reference Curves'!$G$105,E180*'Reference Curves'!$H$104+'Reference Curves'!$H$105)),2))))))))</f>
        <v/>
      </c>
      <c r="G180" s="470"/>
      <c r="H180" s="464"/>
      <c r="I180" s="460"/>
      <c r="J180" s="483"/>
    </row>
    <row r="181" spans="1:10" ht="15.95" customHeight="1" x14ac:dyDescent="0.5">
      <c r="A181" s="469"/>
      <c r="B181" s="463"/>
      <c r="C181" s="109" t="s">
        <v>80</v>
      </c>
      <c r="D181" s="161"/>
      <c r="E181" s="14"/>
      <c r="F181" s="118" t="str">
        <f>IF(E181="","",IF(OR(LEFT($D156,1)="F",LEFT($D156,1)="G",LEFT($D156,1)="D"),"FALSE",
IF(LEFT($D156,1)="A",
ROUND(IF(OR(E181&gt;=100,E181&lt;=0),0,IF(E181&lt;=54,E181*'Reference Curves'!$G$109+'Reference Curves'!$G$110,
IF(E181&gt;=62,E181*'Reference Curves'!$H$109+'Reference Curves'!$H$110,1))),2),IF(LEFT($D156,1)="B",
ROUND(IF(OR(E181&gt;=100,E181&lt;=0),0,IF(E181&lt;=53,E181*'Reference Curves'!$G$114+'Reference Curves'!$G$115,
IF(E181&gt;=61,E181*'Reference Curves'!$H$114+'Reference Curves'!$H$115,1))),2),
IF(LEFT($D156,1)="C",
ROUND(IF(OR(E181&gt;=100,E181&lt;=0),0,
IF(E181&lt;45,E181*'Reference Curves'!$G$119+'Reference Curves'!$G$120,
IF(E181&gt;=64,E181*'Reference Curves'!$H$119+'Reference Curves'!$H$120,1))),2),
IF(LEFT($D156,1)="E",
ROUND(IF(OR(E181&gt;=100,E181&lt;=0),0,
IF(E181&lt;43,E181*'Reference Curves'!$G$124+'Reference Curves'!$G$125,
IF(E181&gt;=63,E181*'Reference Curves'!$H$124+'Reference Curves'!$H$125,1))),2),))))))</f>
        <v/>
      </c>
      <c r="G181" s="470"/>
      <c r="H181" s="464"/>
      <c r="I181" s="461"/>
      <c r="J181" s="483"/>
    </row>
    <row r="182" spans="1:10" ht="15.95" customHeight="1" x14ac:dyDescent="0.5">
      <c r="A182" s="485" t="s">
        <v>40</v>
      </c>
      <c r="B182" s="249" t="s">
        <v>103</v>
      </c>
      <c r="C182" s="267" t="s">
        <v>235</v>
      </c>
      <c r="D182" s="98"/>
      <c r="E182" s="26"/>
      <c r="F182" s="119" t="str">
        <f>IF(E182="","",IF($G157="Coldwater",IF(E182&gt;=77,0,IF(E182&lt;=58.04,1,ROUND(E182*'Reference Curves'!$P$6+'Reference Curves'!$P$7,2)))))</f>
        <v/>
      </c>
      <c r="G182" s="120" cm="1">
        <f t="array" ref="G182">IF(G157="Warmwater","", IF(F182&lt;&gt;"",AVERAGE(F182),_xlfn.IFS(B155="Secondary",'Functional Loss'!$H$26,B155="Tertiary",'Functional Loss'!$H$28,TRUE,'Functional Loss'!$H$23)))</f>
        <v>1</v>
      </c>
      <c r="H182" s="465">
        <f>IFERROR(ROUND(AVERAGE(G182:G187),2),"")</f>
        <v>1</v>
      </c>
      <c r="I182" s="480" t="str">
        <f>IF(H182="","",IF(H182&gt;0.69,"Functioning",IF(H182&gt;0.29,"Functioning At Risk",IF(H182&gt;-1,"Not Functioning"))))</f>
        <v>Functioning</v>
      </c>
      <c r="J182" s="483"/>
    </row>
    <row r="183" spans="1:10" ht="15.95" customHeight="1" x14ac:dyDescent="0.5">
      <c r="A183" s="486"/>
      <c r="B183" s="81" t="s">
        <v>127</v>
      </c>
      <c r="C183" s="268" t="s">
        <v>370</v>
      </c>
      <c r="D183" s="99"/>
      <c r="E183" s="26"/>
      <c r="F183" s="119" t="str">
        <f>IF(E183="","",
ROUND(IF(E183&gt;='Reference Curves'!$P$16,0,
IF(E183&lt;=35,1,
IF(E183&gt;=121,E183*'Reference Curves'!$P$11+'Reference Curves'!$P$12,
E183*'Reference Curves'!$Q$11+'Reference Curves'!$Q$12))),2))</f>
        <v/>
      </c>
      <c r="G183" s="119" cm="1">
        <f t="array" ref="G183">IF(F183&lt;&gt;"",AVERAGE(F183),_xlfn.IFS(B155="Secondary",'Functional Loss'!$H$26,B155="Tertiary", 'Functional Loss'!$H$28, TRUE, 'Functional Loss'!$H$23))</f>
        <v>1</v>
      </c>
      <c r="H183" s="488"/>
      <c r="I183" s="489"/>
      <c r="J183" s="483"/>
    </row>
    <row r="184" spans="1:10" s="48" customFormat="1" ht="15.95" customHeight="1" x14ac:dyDescent="0.5">
      <c r="A184" s="486"/>
      <c r="B184" s="100" t="s">
        <v>196</v>
      </c>
      <c r="C184" s="100" t="s">
        <v>197</v>
      </c>
      <c r="D184" s="101"/>
      <c r="E184" s="14"/>
      <c r="F184" s="119" t="str">
        <f>IF(E184="","",
IF(E184&gt;=2.3,0,
IF(E184&lt;=0.4,1,
ROUND(IF(E184&lt;0.8,E184*'Reference Curves'!$Q$21+'Reference Curves'!$Q$22,E184*'Reference Curves'!$P$21+'Reference Curves'!$P$22),2))))</f>
        <v/>
      </c>
      <c r="G184" s="119" cm="1">
        <f t="array" ref="G184">IF(F184&lt;&gt;"",AVERAGE(F184),_xlfn.IFS(B155="Secondary",'Functional Loss'!$H$26, B155="Tertiary", 'Functional Loss'!$H$28, TRUE, 'Functional Loss'!$H$23))</f>
        <v>1</v>
      </c>
      <c r="H184" s="488"/>
      <c r="I184" s="489"/>
      <c r="J184" s="483"/>
    </row>
    <row r="185" spans="1:10" ht="15.95" customHeight="1" x14ac:dyDescent="0.5">
      <c r="A185" s="486"/>
      <c r="B185" s="100" t="s">
        <v>198</v>
      </c>
      <c r="C185" s="263" t="s">
        <v>199</v>
      </c>
      <c r="D185" s="269"/>
      <c r="E185" s="11"/>
      <c r="F185" s="119" t="str">
        <f>IF(E185="","",
IF(E185&gt;=0.2,0,
IF(E185&lt;=0.04,1,
ROUND(IF(E185&lt;0.08,E185*'Reference Curves'!$Q$26+'Reference Curves'!$Q$27,
E185*'Reference Curves'!$P$26+'Reference Curves'!$P$27),2))))</f>
        <v/>
      </c>
      <c r="G185" s="119" cm="1">
        <f t="array" ref="G185">IF(F185&lt;&gt;"",AVERAGE(F185),_xlfn.IFS(B155="Secondary",'Functional Loss'!$H$26, B155="Tertiary", 'Functional Loss'!$H$28, TRUE, 'Functional Loss'!$H$23))</f>
        <v>1</v>
      </c>
      <c r="H185" s="488"/>
      <c r="I185" s="489"/>
      <c r="J185" s="483"/>
    </row>
    <row r="186" spans="1:10" ht="15.95" customHeight="1" x14ac:dyDescent="0.5">
      <c r="A186" s="486"/>
      <c r="B186" s="490" t="s">
        <v>371</v>
      </c>
      <c r="C186" s="263" t="s">
        <v>372</v>
      </c>
      <c r="D186" s="270"/>
      <c r="E186" s="271"/>
      <c r="F186" s="119" t="str">
        <f>IF(E186="","",
IF(E186&gt;=100,0,
IF(E186&lt;=10,1,
ROUND(IF(E186&lt;50,E186*'Reference Curves'!$Q$32+'Reference Curves'!$Q$33,
E186*'Reference Curves'!$P$32+'Reference Curves'!$P$33),2)
)))</f>
        <v/>
      </c>
      <c r="G186" s="465" cm="1">
        <f t="array" ref="G186">IF(OR(F186&lt;&gt;"",F187&lt;&gt;""),AVERAGE(F186:F187), _xlfn.IFS(B155="Secondary",'Functional Loss'!$H$26,B155="Tertiary", 'Functional Loss'!$H$28, TRUE, 'Functional Loss'!$H$23))</f>
        <v>1</v>
      </c>
      <c r="H186" s="488"/>
      <c r="I186" s="489"/>
      <c r="J186" s="483"/>
    </row>
    <row r="187" spans="1:10" ht="15.95" customHeight="1" x14ac:dyDescent="0.5">
      <c r="A187" s="487"/>
      <c r="B187" s="491"/>
      <c r="C187" s="266" t="s">
        <v>373</v>
      </c>
      <c r="D187" s="264"/>
      <c r="E187" s="16"/>
      <c r="F187" s="265" t="str">
        <f>IF(E187="","",
IF(E187&gt;=100,0,
IF(E187&lt;=10,1,
ROUND(IF(E187&lt;50,E187*'Reference Curves'!$Q$32+'Reference Curves'!$Q$33,
E187*'Reference Curves'!$P$32+'Reference Curves'!$P$33),2)
)))</f>
        <v/>
      </c>
      <c r="G187" s="466"/>
      <c r="H187" s="466"/>
      <c r="I187" s="481"/>
      <c r="J187" s="483"/>
    </row>
    <row r="188" spans="1:10" ht="15.95" customHeight="1" x14ac:dyDescent="0.5">
      <c r="A188" s="476" t="s">
        <v>41</v>
      </c>
      <c r="B188" s="211" t="s">
        <v>81</v>
      </c>
      <c r="C188" s="56" t="s">
        <v>200</v>
      </c>
      <c r="D188" s="57"/>
      <c r="E188" s="273"/>
      <c r="F188" s="274" t="str">
        <f>IF(E188="","",
IF($D154="Blue Ridge Mountains",
ROUND(IF(E188&lt;=0,0,
IF(E188&gt;=36,1,
IF(E188&lt;=19,E188*'Reference Curves'!$S$6+'Reference Curves'!$S$7,
IF(E188&gt;=28, E188*'Reference Curves'!$U$6+'Reference Curves'!$U$7,
E188*'Reference Curves'!$T$6+'Reference Curves'!$T$7 )))),2),
IF($D154="Piedmont",
ROUND(IF(E188&lt;=0,0,
IF(E188&gt;=28,1,
IF(E188&lt;=14,E188*'Reference Curves'!$S$11+'Reference Curves'!$S$12,
IF(E188&gt;=21, E188*'Reference Curves'!$U$11+'Reference Curves'!$U$12,
E188*'Reference Curves'!$T$11+'Reference Curves'!$T$12)))),2),
IF(OR($D154="Southeastern Plains",$D154="Middle Atlantic Coastal Plain"),
ROUND(IF(E188&lt;=0,0,
IF(E188&gt;=15,1,
IF(E188&lt;=5, E188*'Reference Curves'!$S$16+'Reference Curves'!$S$17,
IF(E188&gt;=10,E188*'Reference Curves'!$U$16+'Reference Curves'!$U$17,
E188*'Reference Curves'!$T$16+'Reference Curves'!$T$17)))),2)))))</f>
        <v/>
      </c>
      <c r="G188" s="272" cm="1">
        <f t="array" ref="G188">IF(F188&lt;&gt;"",AVERAGE(F188),_xlfn.IFS(B155="Secondary",'Functional Loss'!$H$26, B155="Tertiary", 'Functional Loss'!$H$28, TRUE, 'Functional Loss'!$H$23))</f>
        <v>1</v>
      </c>
      <c r="H188" s="478">
        <f>IFERROR(ROUND(AVERAGE(G188:G189),2),"")</f>
        <v>1</v>
      </c>
      <c r="I188" s="480" t="str">
        <f>IF(H188="","",IF(H188&gt;0.69,"Functioning",IF(H188&gt;0.29,"Functioning At Risk",IF(H188&gt;-1,"Not Functioning"))))</f>
        <v>Functioning</v>
      </c>
      <c r="J188" s="483"/>
    </row>
    <row r="189" spans="1:10" s="48" customFormat="1" ht="15.95" customHeight="1" x14ac:dyDescent="0.5">
      <c r="A189" s="477"/>
      <c r="B189" s="211" t="s">
        <v>45</v>
      </c>
      <c r="C189" s="57" t="s">
        <v>374</v>
      </c>
      <c r="D189" s="57"/>
      <c r="E189" s="275"/>
      <c r="F189" s="210" t="str">
        <f>IF(E189="","",
IF($G158="1 - Upland Santee/Pee-Dee Basin",
IF(E189&lt;-1,0,
IF(E189&gt;1,1,
ROUND(IF(E189&gt;=0.05,E189*'Reference Curves'!$T$21+'Reference Curves'!$T$22,
E189*'Reference Curves'!$S$21+'Reference Curves'!$S$22),2))),
IF($G158="2 - Upland Savannah",
IF(E189&lt;-1,0,
IF(E189&gt;1,1,
ROUND(IF(E189&gt;=0.002,E189*'Reference Curves'!$T$26+'Reference Curves'!$T$27,
E189*'Reference Curves'!$S$26+'Reference Curves'!$S$27),2))),
IF($G158="3 - Lowland Perennial",
IF(E189&lt;-1,0,
IF(E189&gt;1,1,
ROUND(IF(E189&gt;=0.005,E189*'Reference Curves'!$T$31+'Reference Curves'!$T$32,
E189*'Reference Curves'!$S$31+'Reference Curves'!$S$32),2))),
IF($G158="4 - Lowland Stable Baseflow",
IF(E189&lt;-1,0,
IF(E189&gt;1,1,
ROUND(IF(E189&gt;=0.3,E189*'Reference Curves'!$T$36+'Reference Curves'!$T$37,
E189*'Reference Curves'!$S$36+'Reference Curves'!$S$37),2))))))))</f>
        <v/>
      </c>
      <c r="G189" s="120" cm="1">
        <f t="array" ref="G189">IF(F189&lt;&gt;"",AVERAGE(F189),_xlfn.IFS(B155="Secondary",'Functional Loss'!$H$26, B155="Tertiary", 'Functional Loss'!$H$28, TRUE, 'Functional Loss'!$H$23))</f>
        <v>1</v>
      </c>
      <c r="H189" s="479"/>
      <c r="I189" s="481"/>
      <c r="J189" s="484"/>
    </row>
    <row r="190" spans="1:10" s="48" customFormat="1" ht="15" customHeight="1" x14ac:dyDescent="0.45">
      <c r="I190" s="27"/>
    </row>
    <row r="191" spans="1:10" ht="30" customHeight="1" x14ac:dyDescent="0.65">
      <c r="A191" s="500" t="s">
        <v>395</v>
      </c>
      <c r="B191" s="501"/>
      <c r="C191" s="501"/>
      <c r="D191" s="501"/>
      <c r="E191" s="501"/>
      <c r="F191" s="501"/>
      <c r="G191" s="501"/>
      <c r="H191" s="501"/>
      <c r="I191" s="501"/>
      <c r="J191" s="502"/>
    </row>
    <row r="192" spans="1:10" ht="33" customHeight="1" x14ac:dyDescent="0.45">
      <c r="A192" s="121" t="s">
        <v>59</v>
      </c>
      <c r="B192" s="122">
        <f>'Project Summary'!$A15</f>
        <v>0</v>
      </c>
      <c r="C192" s="282" t="s">
        <v>146</v>
      </c>
      <c r="D192" s="283"/>
      <c r="E192" s="59" t="s">
        <v>236</v>
      </c>
      <c r="F192" s="121"/>
      <c r="G192" s="467"/>
      <c r="H192" s="468"/>
      <c r="I192" s="127" t="s">
        <v>95</v>
      </c>
      <c r="J192" s="123"/>
    </row>
    <row r="193" spans="1:10" ht="31.5" x14ac:dyDescent="0.45">
      <c r="A193" s="121" t="s">
        <v>201</v>
      </c>
      <c r="B193" s="122">
        <f>'Project Summary'!D15</f>
        <v>0</v>
      </c>
      <c r="C193" s="282" t="s">
        <v>60</v>
      </c>
      <c r="D193" s="284"/>
      <c r="E193" s="59" t="s">
        <v>237</v>
      </c>
      <c r="F193" s="124"/>
      <c r="G193" s="467"/>
      <c r="H193" s="468"/>
      <c r="I193" s="127" t="s">
        <v>96</v>
      </c>
      <c r="J193" s="123"/>
    </row>
    <row r="194" spans="1:10" ht="31.5" customHeight="1" x14ac:dyDescent="0.45">
      <c r="A194" s="121" t="s">
        <v>316</v>
      </c>
      <c r="B194" s="122">
        <f>'Functional Loss'!D14</f>
        <v>0</v>
      </c>
      <c r="C194" s="282" t="s">
        <v>94</v>
      </c>
      <c r="D194" s="284"/>
      <c r="E194" s="503" t="s">
        <v>346</v>
      </c>
      <c r="F194" s="504"/>
      <c r="G194" s="467"/>
      <c r="H194" s="468"/>
      <c r="I194" s="127" t="s">
        <v>97</v>
      </c>
      <c r="J194" s="123"/>
    </row>
    <row r="195" spans="1:10" ht="31.5" x14ac:dyDescent="0.45">
      <c r="A195" s="95" t="s">
        <v>392</v>
      </c>
      <c r="B195" s="122">
        <f>'Project Summary'!C15</f>
        <v>0</v>
      </c>
      <c r="C195" s="282" t="s">
        <v>73</v>
      </c>
      <c r="D195" s="284"/>
      <c r="E195" s="59" t="s">
        <v>147</v>
      </c>
      <c r="F195" s="126"/>
      <c r="G195" s="467"/>
      <c r="H195" s="468"/>
      <c r="I195" s="127" t="s">
        <v>98</v>
      </c>
      <c r="J195" s="123"/>
    </row>
    <row r="196" spans="1:10" ht="31.5" customHeight="1" x14ac:dyDescent="0.45">
      <c r="A196" s="59" t="s">
        <v>148</v>
      </c>
      <c r="B196" s="122">
        <f>'Project Summary'!B15</f>
        <v>0</v>
      </c>
      <c r="C196" s="282" t="s">
        <v>396</v>
      </c>
      <c r="D196" s="123"/>
      <c r="E196" s="472" t="s">
        <v>355</v>
      </c>
      <c r="F196" s="472"/>
      <c r="G196" s="467"/>
      <c r="H196" s="468"/>
      <c r="I196" s="121" t="s">
        <v>226</v>
      </c>
      <c r="J196" s="197"/>
    </row>
    <row r="197" spans="1:10" ht="28.5" customHeight="1" x14ac:dyDescent="0.65">
      <c r="A197" s="473" t="s">
        <v>39</v>
      </c>
      <c r="B197" s="473"/>
      <c r="C197" s="473"/>
      <c r="D197" s="473"/>
      <c r="E197" s="473"/>
      <c r="F197" s="473"/>
      <c r="G197" s="336" t="s">
        <v>348</v>
      </c>
      <c r="H197" s="336"/>
      <c r="I197" s="336"/>
      <c r="J197" s="336"/>
    </row>
    <row r="198" spans="1:10" ht="15.75" x14ac:dyDescent="0.5">
      <c r="A198" s="12" t="s">
        <v>1</v>
      </c>
      <c r="B198" s="12" t="s">
        <v>166</v>
      </c>
      <c r="C198" s="474" t="s">
        <v>165</v>
      </c>
      <c r="D198" s="475"/>
      <c r="E198" s="12" t="s">
        <v>8</v>
      </c>
      <c r="F198" s="171" t="s">
        <v>9</v>
      </c>
      <c r="G198" s="12" t="s">
        <v>10</v>
      </c>
      <c r="H198" s="12" t="s">
        <v>11</v>
      </c>
      <c r="I198" s="28" t="s">
        <v>11</v>
      </c>
      <c r="J198" s="12" t="s">
        <v>82</v>
      </c>
    </row>
    <row r="199" spans="1:10" ht="15.95" customHeight="1" x14ac:dyDescent="0.5">
      <c r="A199" s="492" t="s">
        <v>42</v>
      </c>
      <c r="B199" s="494" t="s">
        <v>65</v>
      </c>
      <c r="C199" s="166" t="s">
        <v>181</v>
      </c>
      <c r="D199" s="102"/>
      <c r="E199" s="11"/>
      <c r="F199" s="110" t="str">
        <f>IF(E199="","",IF(E199&gt;78,0,IF(E199&lt;55,1,ROUND(E199*'Reference Curves'!$B$6+'Reference Curves'!$B$7,2))))</f>
        <v/>
      </c>
      <c r="G199" s="454" cm="1">
        <f t="array" ref="G199">IF(OR(F199&lt;&gt;"",F200&lt;&gt;""),AVERAGE(F199:F200),_xlfn.IFS(B193="Secondary",'Functional Loss'!$H$26,B193="Tertiary",'Functional Loss'!$H$28,TRUE,'Functional Loss'!$H$23))</f>
        <v>1</v>
      </c>
      <c r="H199" s="496">
        <f>IFERROR(ROUND(AVERAGE(G199),2),"")</f>
        <v>1</v>
      </c>
      <c r="I199" s="498" t="str">
        <f>IF(H199="","",IF(H199&gt;0.69,"Functioning",IF(H199&gt;0.29,"Functioning At Risk",IF(H199&gt;-1,"Not Functioning"))))</f>
        <v>Functioning</v>
      </c>
      <c r="J199" s="482">
        <f>IF(AND(H199="",H201="",H204="",H220="",H226=""),"",ROUND((IF(H199="",0,H199)*0.2)+(IF(H201="",0,H201)*0.2)+(IF(H204="",0,H204)*0.2)+(IF(H220="",0,H220)*0.2)+(IF(H226="",0,H226)*0.2),2))</f>
        <v>1</v>
      </c>
    </row>
    <row r="200" spans="1:10" ht="15.95" customHeight="1" x14ac:dyDescent="0.5">
      <c r="A200" s="493"/>
      <c r="B200" s="495"/>
      <c r="C200" s="167" t="s">
        <v>143</v>
      </c>
      <c r="D200" s="103"/>
      <c r="E200" s="15"/>
      <c r="F200" s="111" t="str">
        <f>IF(E200="","",IF(E200&gt;3.33,0,IF(E200=0,1,ROUND(E200*'Reference Curves'!$B$10+'Reference Curves'!$B$11,2))))</f>
        <v/>
      </c>
      <c r="G200" s="455"/>
      <c r="H200" s="497"/>
      <c r="I200" s="498"/>
      <c r="J200" s="483"/>
    </row>
    <row r="201" spans="1:10" ht="15.95" customHeight="1" x14ac:dyDescent="0.5">
      <c r="A201" s="499" t="s">
        <v>2</v>
      </c>
      <c r="B201" s="452" t="s">
        <v>3</v>
      </c>
      <c r="C201" s="104" t="s">
        <v>182</v>
      </c>
      <c r="D201" s="104"/>
      <c r="E201" s="14"/>
      <c r="F201" s="60" t="str">
        <f>IF(E201="","",ROUND(IF(OR(E201&gt;1.71,E201&lt;0.34),0,IF(E201&lt;=1,1,E201*'Reference Curves'!$D$5+'Reference Curves'!$D$6)),2))</f>
        <v/>
      </c>
      <c r="G201" s="454" cm="1">
        <f t="array" ref="G201">IF(OR(F201&lt;&gt;"",F202&lt;&gt;""),AVERAGE(F201:F202), _xlfn.IFS(B193="Secondary",'Functional Loss'!$H$26,B193="Tertiary", 'Functional Loss'!$H$28, TRUE, 'Functional Loss'!$H$23))</f>
        <v>1</v>
      </c>
      <c r="H201" s="456">
        <f>IFERROR(ROUND(AVERAGE(G201:G203),2),"")</f>
        <v>1</v>
      </c>
      <c r="I201" s="459" t="str">
        <f>IF(H201="","",IF(H201&gt;0.69,"Functioning",IF(H201&gt;0.29,"Functioning At Risk",IF(H201&gt;-1,"Not Functioning"))))</f>
        <v>Functioning</v>
      </c>
      <c r="J201" s="483"/>
    </row>
    <row r="202" spans="1:10" ht="15.95" customHeight="1" x14ac:dyDescent="0.5">
      <c r="A202" s="452"/>
      <c r="B202" s="453"/>
      <c r="C202" s="105" t="s">
        <v>183</v>
      </c>
      <c r="D202" s="105"/>
      <c r="E202" s="15"/>
      <c r="F202" s="112" t="str">
        <f>IF(E202="","",
IF(LEFT($D194,1)="C",
ROUND(IF(E202&gt;=7.3,1,
IF(E202&lt;=1,0,
IF(E202&lt;=2.2, E202*'Reference Curves'!$D$10+'Reference Curves'!$D$11, E202*'Reference Curves'!$E$10+'Reference Curves'!$E$11))),2),
IF(LEFT($D194,1)="B",
ROUND(IF(E202&gt;=2,1,
IF(E202&lt;=1,0,
IF(E202&lt;=1.4,E202*'Reference Curves'!$D$20+'Reference Curves'!$D$21,E202*'Reference Curves'!$E$20+'Reference Curves'!$E$21))),2), IF(OR(LEFT($D194,1)="E"), ROUND(IF(E202&gt;=10,1,
IF(E202&lt;=1,0,
IF(E202&lt;=2.2,  E202*'Reference Curves'!$D$15+'Reference Curves'!$D$16,
E202*'Reference Curves'!$E$15+'Reference Curves'!$E$16))),2)))))</f>
        <v/>
      </c>
      <c r="G202" s="455"/>
      <c r="H202" s="457"/>
      <c r="I202" s="460"/>
      <c r="J202" s="483"/>
    </row>
    <row r="203" spans="1:10" ht="15.95" customHeight="1" x14ac:dyDescent="0.5">
      <c r="A203" s="453"/>
      <c r="B203" s="248" t="s">
        <v>184</v>
      </c>
      <c r="C203" s="104" t="s">
        <v>185</v>
      </c>
      <c r="D203" s="104"/>
      <c r="E203" s="14"/>
      <c r="F203" s="60" t="str">
        <f>IF(E203="","",(IF(E203&gt;=1.8,0,  IF(E203=1,1,ROUND(IF(E203&gt;1,E203*'Reference Curves'!$E$25+'Reference Curves'!$E$26, IF(E201&gt;1.2, IF(E203&lt;=0.2,0,E203*'Reference Curves'!$D$25+'Reference Curves'!$D$26),1)),2)))))</f>
        <v/>
      </c>
      <c r="G203" s="120" cm="1">
        <f t="array" ref="G203">IF(OR(D194="D",D194="DA"),"",IF(F203&lt;&gt;"",IFERROR(AVERAGE(F203),""),_xlfn.IFS(B193="Secondary",'Functional Loss'!$H$26, B193="Tertiary", 'Functional Loss'!$H$28, TRUE, 'Functional Loss'!$H$23)))</f>
        <v>1</v>
      </c>
      <c r="H203" s="458"/>
      <c r="I203" s="461"/>
      <c r="J203" s="483"/>
    </row>
    <row r="204" spans="1:10" ht="15.95" customHeight="1" x14ac:dyDescent="0.5">
      <c r="A204" s="462" t="s">
        <v>14</v>
      </c>
      <c r="B204" s="462" t="s">
        <v>15</v>
      </c>
      <c r="C204" s="162" t="s">
        <v>13</v>
      </c>
      <c r="D204" s="163"/>
      <c r="E204" s="11"/>
      <c r="F204" s="113" t="str">
        <f>IF(E204="","",ROUND(IF(E204&gt;=731,1,IF(E204&lt;=0,0,IF(E204&lt;355,E204*'Reference Curves'!$G$6+'Reference Curves'!$G$7,E204*'Reference Curves'!$H$6+'Reference Curves'!$H$7))),2))</f>
        <v/>
      </c>
      <c r="G204" s="454" cm="1">
        <f t="array" ref="G204">IF(OR(F204&lt;&gt;"",F205&lt;&gt;""),AVERAGE(F204:F205), _xlfn.IFS(B193="Secondary",'Functional Loss'!$H$26,B193="Tertiary", 'Functional Loss'!$H$28, TRUE, 'Functional Loss'!$H$23))</f>
        <v>1</v>
      </c>
      <c r="H204" s="464">
        <f>IFERROR(ROUND(AVERAGE(G204:G219),2),"")</f>
        <v>1</v>
      </c>
      <c r="I204" s="459" t="str">
        <f>IF(H204="","",IF(H204&gt;0.69,"Functioning",IF(H204&gt;0.29,"Functioning At Risk",IF(H204&gt;-1,"Not Functioning"))))</f>
        <v>Functioning</v>
      </c>
      <c r="J204" s="483"/>
    </row>
    <row r="205" spans="1:10" ht="15.95" customHeight="1" x14ac:dyDescent="0.5">
      <c r="A205" s="469"/>
      <c r="B205" s="463"/>
      <c r="C205" s="160" t="s">
        <v>186</v>
      </c>
      <c r="D205" s="161"/>
      <c r="E205" s="15"/>
      <c r="F205" s="25" t="str">
        <f>IF(E205="","",ROUND(IF(E205&gt;=28,1,IF(E205&lt;16,E205*'Reference Curves'!$G$11+'Reference Curves'!$G$12,E205*'Reference Curves'!$H$11+'Reference Curves'!$H$12)),2))</f>
        <v/>
      </c>
      <c r="G205" s="455"/>
      <c r="H205" s="464"/>
      <c r="I205" s="460"/>
      <c r="J205" s="483"/>
    </row>
    <row r="206" spans="1:10" ht="15.95" customHeight="1" x14ac:dyDescent="0.5">
      <c r="A206" s="469"/>
      <c r="B206" s="469" t="s">
        <v>92</v>
      </c>
      <c r="C206" s="106" t="s">
        <v>187</v>
      </c>
      <c r="D206" s="106"/>
      <c r="E206" s="114"/>
      <c r="F206" s="24" t="str">
        <f>IF(E206="","",
ROUND(IF(E206&gt;=0.71,0,
IF(E206&lt;=0.1,1,
IF(E206&lt;=0.2,E206*'Reference Curves'!$I$16+'Reference Curves'!$I$17,
IF(E206&gt;=0.4,E206*'Reference Curves'!$G$16+'Reference Curves'!$G$17,
E206*'Reference Curves'!$H$16+'Reference Curves'!$H$17)))),2))</f>
        <v/>
      </c>
      <c r="G206" s="471" cm="1">
        <f t="array" ref="G206">IF(E209&gt;50,0,IF(OR(F206&lt;&gt;"",F207&lt;&gt;"",F208&lt;&gt;"",F209&lt;&gt;""),AVERAGE(F206:F209),_xlfn.IFS(B193="Secondary",'Functional Loss'!$H$26,B193="Tertiary",'Functional Loss'!$H$28,TRUE,'Functional Loss'!$H$23)))</f>
        <v>1</v>
      </c>
      <c r="H206" s="464"/>
      <c r="I206" s="460"/>
      <c r="J206" s="483"/>
    </row>
    <row r="207" spans="1:10" ht="15.95" customHeight="1" x14ac:dyDescent="0.5">
      <c r="A207" s="469"/>
      <c r="B207" s="469"/>
      <c r="C207" s="106" t="s">
        <v>36</v>
      </c>
      <c r="D207" s="106"/>
      <c r="E207" s="115"/>
      <c r="F207" s="8" t="str">
        <f>IF(E207="","",IF(OR(E207="Ex/VL",E207="VH/VL",E207="H/M",E207="H/L",E207="H/VL"),0.2, IF(OR(LEFT(E207,2)="Ex",E207="VH/Ex",E207="VH/VH", E207="VH/H"),0,IF(OR(E207="VH/M",E207="VH/L",E207="H/Ex", E207="H/VH", E207="H/H"),0.1, IF(OR(E207="M/Ex",E207="M/VH"),0.3, IF(E207="M/H",0.4, IF(E207="M/M",0.5, IF(OR(E207="M/L",E207="M/VL"),0.6, IF(E207="L/Ex",0.7, IF(OR(LEFT(E207,1)="L",LEFT(E207,2)="VL"),1))))))))))</f>
        <v/>
      </c>
      <c r="G207" s="471"/>
      <c r="H207" s="464"/>
      <c r="I207" s="460"/>
      <c r="J207" s="483"/>
    </row>
    <row r="208" spans="1:10" ht="15.95" customHeight="1" x14ac:dyDescent="0.5">
      <c r="A208" s="469"/>
      <c r="B208" s="469"/>
      <c r="C208" s="164" t="s">
        <v>48</v>
      </c>
      <c r="D208" s="106"/>
      <c r="E208" s="114"/>
      <c r="F208" s="8" t="str">
        <f>IF(E208="","",ROUND(IF(E208&gt;=50,0,IF(E208&lt;=5,1,IF(E208&gt;11,E208*'Reference Curves'!$G$21+'Reference Curves'!$G$22,E208*'Reference Curves'!$H$21+'Reference Curves'!$H$22))),2))</f>
        <v/>
      </c>
      <c r="G208" s="471"/>
      <c r="H208" s="464"/>
      <c r="I208" s="460"/>
      <c r="J208" s="483"/>
    </row>
    <row r="209" spans="1:10" ht="15.95" customHeight="1" x14ac:dyDescent="0.5">
      <c r="A209" s="469"/>
      <c r="B209" s="469"/>
      <c r="C209" s="107" t="s">
        <v>124</v>
      </c>
      <c r="D209" s="107"/>
      <c r="E209" s="16"/>
      <c r="F209" s="25" t="str">
        <f>IF(E209="","",ROUND(IF(E209&gt;=30,0,E209*'Reference Curves'!$G$25+'Reference Curves'!$G$26),2))</f>
        <v/>
      </c>
      <c r="G209" s="471"/>
      <c r="H209" s="464"/>
      <c r="I209" s="460"/>
      <c r="J209" s="483"/>
    </row>
    <row r="210" spans="1:10" ht="15.95" customHeight="1" x14ac:dyDescent="0.5">
      <c r="A210" s="469"/>
      <c r="B210" s="462" t="s">
        <v>37</v>
      </c>
      <c r="C210" s="108" t="s">
        <v>144</v>
      </c>
      <c r="D210" s="163"/>
      <c r="E210" s="58"/>
      <c r="F210" s="116" t="str">
        <f>IF(E210="","",
IF(AND($G193="Single Family Residential",$G192="&lt; 5 %"),
ROUND(IF(E210&lt;=0,0,IF(E210&gt;=300,1,IF(E210&gt;=50, E210*'Reference Curves'!$H$31 +'Reference Curves'!$H$32,
E210*'Reference Curves'!$G$31 +'Reference Curves'!$G$32))),2),
IF(AND($G193="Single Family Residential",$G192="5 - 20 %"),
ROUND(IF(E210&lt;=0,0,IF(E210&gt;=300,1,IF(E210&gt;=100,E210*'Reference Curves'!$J$31+'Reference Curves'!$J$32,
E210*'Reference Curves'!$I$31+'Reference Curves'!$I$32))),2),
IF(AND($G193="Single Family Residential",$G192="21 - 40 %"),
ROUND(IF(E210&lt;=0,0,IF(E210&gt;=300,1,IF(E210&gt;=150,E210*'Reference Curves'!$L$31+'Reference Curves'!$L$32,
E210*'Reference Curves'!$K$31+'Reference Curves'!$K$32))),2),
IF(AND($G193="Single Family Residential",$G192="&gt; 40 %"),
ROUND(IF(E210&lt;=0,0,IF(E210&gt;=300,1,IF(E210&gt;=200,E210*'Reference Curves'!$N$31+'Reference Curves'!$N$32,
E210*'Reference Curves'!$M$31+'Reference Curves'!$M$32))),2),                           IF(AND($G193="Multi-Family Residential",$G192="&lt; 5 %"),
ROUND(IF(E210&lt;=0,0,IF(E210&gt;=293,1,IF(E210&gt;=60,E210*'Reference Curves'!$H$37+'Reference Curves'!$H$38,
E210*'Reference Curves'!$G$37+'Reference Curves'!$G$38))),2),
IF(AND($G193="Multi-Family Residential",$G192="5 - 20 %"),
ROUND(IF(E210&lt;=0,0,IF(E210&gt;=293,1,IF(E210&gt;=120, E210*'Reference Curves'!$J$37+'Reference Curves'!$J$38,
E210*'Reference Curves'!$I$37+'Reference Curves'!$I$38))),2),
IF(AND($G193="Multi-Family Residential",$G192="21 - 40 %"),
ROUND(IF(E210&lt;=0,0,IF(E210&gt;=300,1, IF(E210&gt;=180, E210*'Reference Curves'!$L$37+'Reference Curves'!$L$38,
E210*'Reference Curves'!$K$37+'Reference Curves'!$K$38))),2),
IF(AND($G193="Multi-Family Residential",$G192="&gt; 40 %"),
ROUND(IF(E210&lt;=0,0,IF(E210&gt;=345,1,E210*'Reference Curves'!$M$37+'Reference Curves'!$M$38)),2),
IF(AND($G193="Commercial / Golf Course / Agriculture / Silviculture", $G192="&lt; 5 %"),
ROUND(IF(E210&lt;=0,0, IF(E210&gt;=300,1, IF(E210&gt;=150,E210*'Reference Curves'!$H$43+'Reference Curves'!$H$44,
E210*'Reference Curves'!$G$43+'Reference Curves'!$G$44))),2),
IF(AND($G193="Commercial / Golf Course / Agriculture / Silviculture", $G192="5 - 20 %"),
ROUND(IF(E210&lt;=0,0, IF(E210&gt;=300,1, IF(E210&gt;=150,E210*'Reference Curves'!$H$43+'Reference Curves'!$H$44,
E210*'Reference Curves'!$G$43+'Reference Curves'!$G$44))),2),
IF(AND($G193="Commercial / Golf Course / Agriculture / Silviculture",$G192="21 - 40 %"),
ROUND(IF(E210&lt;=0,0,IF(E210&gt;=322.5,1, E210*'Reference Curves'!$I$43+'Reference Curves'!$I$44)),2),
IF(AND($G193="Commercial / Golf Course / Agriculture / Silviculture",$G192="&gt; 40 %"),
ROUND(IF(E210&lt;=0,0,IF(E210&gt;=434.7,1,E210*'Reference Curves'!$J$43+'Reference Curves'!$J$44)),2),
                   IF(AND($G193="Industrial / Landfill", $G192="&lt; 5 %"),
ROUND(IF(E210&lt;=0,0,IF(E210&gt;=300,1,IF(E210&gt;=150, E210*'Reference Curves'!$H$49+'Reference Curves'!$H$50,
E210*'Reference Curves'!$G$49+'Reference Curves'!$G$50))),2),
IF(AND($G193="Industrial / Landfill", $G192="5 - 20 %"),
ROUND(IF(E210&lt;=0,0,IF(E210&gt;=357.1,1, E210*'Reference Curves'!$I$49+'Reference Curves'!$I$50)),2),
IF(AND($G193="Industrial / Landfill",$G192="21 - 40 %"),
ROUND(IF(E210&lt;=0,0,IF(E210&gt;=499.9,1, E210*'Reference Curves'!$J$49+'Reference Curves'!$J$50)),2)))))))))))))))))</f>
        <v/>
      </c>
      <c r="G210" s="454" cm="1">
        <f t="array" ref="G210">IF(OR(F210&lt;&gt;"",F211&lt;&gt;"",F212&lt;&gt;"",F213&lt;&gt;"", F214&lt;&gt;"",F215&lt;&gt;""),AVERAGE(F210:F215), _xlfn.IFS(B193="Secondary",'Functional Loss'!$H$26, B193="Tertiary", 'Functional Loss'!$H$28, TRUE, 'Functional Loss'!$H$23))</f>
        <v>1</v>
      </c>
      <c r="H210" s="464"/>
      <c r="I210" s="460"/>
      <c r="J210" s="483"/>
    </row>
    <row r="211" spans="1:10" ht="15.95" customHeight="1" x14ac:dyDescent="0.5">
      <c r="A211" s="469"/>
      <c r="B211" s="469"/>
      <c r="C211" s="106" t="s">
        <v>159</v>
      </c>
      <c r="D211" s="165"/>
      <c r="E211" s="32"/>
      <c r="F211" s="117" t="str">
        <f>IF(E211="","",ROUND(IF(E211&gt;=9.3,1,E211*'Reference Curves'!$G$53+'Reference Curves'!$G$54),2))</f>
        <v/>
      </c>
      <c r="G211" s="470"/>
      <c r="H211" s="464"/>
      <c r="I211" s="460"/>
      <c r="J211" s="483"/>
    </row>
    <row r="212" spans="1:10" ht="15.95" customHeight="1" x14ac:dyDescent="0.5">
      <c r="A212" s="469"/>
      <c r="B212" s="469"/>
      <c r="C212" s="106" t="s">
        <v>188</v>
      </c>
      <c r="D212" s="165"/>
      <c r="E212" s="32"/>
      <c r="F212" s="117" t="str">
        <f>IF(E212="","",ROUND(IF(AND(E212&gt;=135,E212&lt;=262),1,IF(E212&gt;=366,0.5,IF(E212&lt;135,E212*'Reference Curves'!$G$57+'Reference Curves'!$G$58,E212*'Reference Curves'!$H$57+'Reference Curves'!$H$58))),2))</f>
        <v/>
      </c>
      <c r="G212" s="470"/>
      <c r="H212" s="464"/>
      <c r="I212" s="460"/>
      <c r="J212" s="483"/>
    </row>
    <row r="213" spans="1:10" ht="15.95" customHeight="1" x14ac:dyDescent="0.5">
      <c r="A213" s="469"/>
      <c r="B213" s="469"/>
      <c r="C213" s="106" t="s">
        <v>189</v>
      </c>
      <c r="D213" s="165"/>
      <c r="E213" s="32"/>
      <c r="F213" s="117" t="str">
        <f>IF(E213="","",  IF($G$4="&lt; 20 %",ROUND(IF(E213&gt;=566,1,E213*'Reference Curves'!$G$61+'Reference Curves'!$G$62),2)))</f>
        <v/>
      </c>
      <c r="G213" s="470"/>
      <c r="H213" s="464"/>
      <c r="I213" s="460"/>
      <c r="J213" s="483"/>
    </row>
    <row r="214" spans="1:10" ht="15.95" customHeight="1" x14ac:dyDescent="0.5">
      <c r="A214" s="469"/>
      <c r="B214" s="469"/>
      <c r="C214" s="106" t="s">
        <v>145</v>
      </c>
      <c r="D214" s="165"/>
      <c r="E214" s="32"/>
      <c r="F214" s="117" t="str">
        <f>IF(E214="","", ROUND(IF(E214&gt;=75,1,E214*'Reference Curves'!$G$65+'Reference Curves'!$G$66),2))</f>
        <v/>
      </c>
      <c r="G214" s="470"/>
      <c r="H214" s="464"/>
      <c r="I214" s="460"/>
      <c r="J214" s="483"/>
    </row>
    <row r="215" spans="1:10" ht="15.95" customHeight="1" x14ac:dyDescent="0.5">
      <c r="A215" s="469"/>
      <c r="B215" s="469"/>
      <c r="C215" s="106" t="s">
        <v>190</v>
      </c>
      <c r="D215" s="165"/>
      <c r="E215" s="32"/>
      <c r="F215" s="117" t="str">
        <f>IF(E215="","",IF(E215&gt;=100,0,ROUND(IF(E215&lt;=0,1,E215*'Reference Curves'!$G$69+'Reference Curves'!$G$70),2)))</f>
        <v/>
      </c>
      <c r="G215" s="470"/>
      <c r="H215" s="464"/>
      <c r="I215" s="460"/>
      <c r="J215" s="483"/>
    </row>
    <row r="216" spans="1:10" s="48" customFormat="1" ht="15.95" customHeight="1" x14ac:dyDescent="0.5">
      <c r="A216" s="469"/>
      <c r="B216" s="463"/>
      <c r="C216" s="106" t="s">
        <v>191</v>
      </c>
      <c r="D216" s="165"/>
      <c r="E216" s="32"/>
      <c r="F216" s="117"/>
      <c r="G216" s="455"/>
      <c r="H216" s="464"/>
      <c r="I216" s="460"/>
      <c r="J216" s="483"/>
    </row>
    <row r="217" spans="1:10" ht="15.95" customHeight="1" x14ac:dyDescent="0.5">
      <c r="A217" s="469"/>
      <c r="B217" s="462" t="s">
        <v>38</v>
      </c>
      <c r="C217" s="108" t="s">
        <v>192</v>
      </c>
      <c r="D217" s="163"/>
      <c r="E217" s="11"/>
      <c r="F217" s="24" t="str">
        <f>IF(E217="","",
IF($D194="Bc", ROUND(IF(E217&lt;=5,1,
IF(E217&gt;=8,0,
IF(E217&lt;6,E217*'Reference Curves'!$G$79+'Reference Curves'!$G$80,E217*'Reference Curves'!$H$79+'Reference Curves'!$H$80))),2),       IF(OR(LEFT($D194,1)="B",LEFT($D194,1)="A"),
ROUND(IF(E217&lt;=4,1,
IF(E217&gt;=6.5,0,
IF(E217&lt;5,E217*'Reference Curves'!$G$74+'Reference Curves'!$G$75, E217*'Reference Curves'!$H$74+'Reference Curves'!$H$75))),2),   IF(OR(LEFT($D194,1)="E",LEFT($D194,1)="C"),
ROUND(IF(OR(E217&gt;=9,E217&lt;=1),0,
IF(AND(E217&gt;=3.5,E217&lt;=6),1,
IF(E217&lt;3.5,E217*'Reference Curves'!$G$84+'Reference Curves'!$G$85,
E217*'Reference Curves'!$H$84+'Reference Curves'!$H$85))),2)))))</f>
        <v/>
      </c>
      <c r="G217" s="454" cm="1">
        <f t="array" ref="G217">IF(OR(D194="D",D194="DA"),"",IF(OR(F217&lt;&gt;"",F218&lt;&gt;"",F219&lt;&gt;""),AVERAGE(F217:F219),_xlfn.IFS(B193="Secondary",'Functional Loss'!$H$26,B193="Tertiary",'Functional Loss'!$H$28,TRUE,'Functional Loss'!$H$23)))</f>
        <v>1</v>
      </c>
      <c r="H217" s="464"/>
      <c r="I217" s="460"/>
      <c r="J217" s="483"/>
    </row>
    <row r="218" spans="1:10" ht="15.95" customHeight="1" x14ac:dyDescent="0.5">
      <c r="A218" s="469"/>
      <c r="B218" s="469"/>
      <c r="C218" s="106" t="s">
        <v>193</v>
      </c>
      <c r="D218" s="165"/>
      <c r="E218" s="14"/>
      <c r="F218" s="8" t="str">
        <f>IF(E218="","",IF(LEFT($D194,1)="A",
IF(E218&gt;=1.7,1,
IF(E218&lt;=1,0,
ROUND(IF(E218&lt;=1.1,'Reference Curves'!$G$89+'Reference Curves'!$G$90,
(IF(E218&gt;=1.4,E218*'Reference Curves'!$I$89+'Reference Curves'!$I$90,
E218*'Reference Curves'!$H$89+'Reference Curves'!$H$90))),2))),            IF(LEFT($D194,1)="B",
IF(E218&gt;=2.9,1,
IF(E218&lt;=1,0,
ROUND(IF(E218&lt;=2,E218*'Reference Curves'!$G$94+'Reference Curves'!$G$95,
(IF(E218&gt;=2.3,E218*'Reference Curves'!$I$94+'Reference Curves'!$I$95,
E218*'Reference Curves'!$H$94+'Reference Curves'!$H$95))),2))),     IF(LEFT($D194,1)="C",
IF(E218&gt;=2.3,1,
IF(E218&lt;=1,0,
ROUND(IF(E218&lt;=1.2,E218*'Reference Curves'!$G$99+'Reference Curves'!$G$100,
IF(E218&gt;=1.9, E218*'Reference Curves'!$I$99+'Reference Curves'!$I$100,
E218*'Reference Curves'!$H$99+'Reference Curves'!$H$100)),2))),          IF(LEFT($D194,1)="E",
IF(E218&gt;=2.1,1,
IF(E218&lt;=1,0,
ROUND(IF(E218&gt;=1.7, E218*'Reference Curves'!$I$104+'Reference Curves'!$I$105, IF(E218&lt;=1.4,
E218*'Reference Curves'!$G$104+'Reference Curves'!$G$105,E218*'Reference Curves'!$H$104+'Reference Curves'!$H$105)),2))))))))</f>
        <v/>
      </c>
      <c r="G218" s="470"/>
      <c r="H218" s="464"/>
      <c r="I218" s="460"/>
      <c r="J218" s="483"/>
    </row>
    <row r="219" spans="1:10" ht="15.95" customHeight="1" x14ac:dyDescent="0.5">
      <c r="A219" s="469"/>
      <c r="B219" s="463"/>
      <c r="C219" s="109" t="s">
        <v>80</v>
      </c>
      <c r="D219" s="161"/>
      <c r="E219" s="14"/>
      <c r="F219" s="118" t="str">
        <f>IF(E219="","",IF(OR(LEFT($D194,1)="F",LEFT($D194,1)="G",LEFT($D194,1)="D"),"FALSE",
IF(LEFT($D194,1)="A",
ROUND(IF(OR(E219&gt;=100,E219&lt;=0),0,IF(E219&lt;=54,E219*'Reference Curves'!$G$109+'Reference Curves'!$G$110,
IF(E219&gt;=62,E219*'Reference Curves'!$H$109+'Reference Curves'!$H$110,1))),2),IF(LEFT($D194,1)="B",
ROUND(IF(OR(E219&gt;=100,E219&lt;=0),0,IF(E219&lt;=53,E219*'Reference Curves'!$G$114+'Reference Curves'!$G$115,
IF(E219&gt;=61,E219*'Reference Curves'!$H$114+'Reference Curves'!$H$115,1))),2),
IF(LEFT($D194,1)="C",
ROUND(IF(OR(E219&gt;=100,E219&lt;=0),0,
IF(E219&lt;45,E219*'Reference Curves'!$G$119+'Reference Curves'!$G$120,
IF(E219&gt;=64,E219*'Reference Curves'!$H$119+'Reference Curves'!$H$120,1))),2),
IF(LEFT($D194,1)="E",
ROUND(IF(OR(E219&gt;=100,E219&lt;=0),0,
IF(E219&lt;43,E219*'Reference Curves'!$G$124+'Reference Curves'!$G$125,
IF(E219&gt;=63,E219*'Reference Curves'!$H$124+'Reference Curves'!$H$125,1))),2),))))))</f>
        <v/>
      </c>
      <c r="G219" s="470"/>
      <c r="H219" s="464"/>
      <c r="I219" s="461"/>
      <c r="J219" s="483"/>
    </row>
    <row r="220" spans="1:10" ht="15.95" customHeight="1" x14ac:dyDescent="0.5">
      <c r="A220" s="485" t="s">
        <v>40</v>
      </c>
      <c r="B220" s="249" t="s">
        <v>103</v>
      </c>
      <c r="C220" s="267" t="s">
        <v>235</v>
      </c>
      <c r="D220" s="98"/>
      <c r="E220" s="26"/>
      <c r="F220" s="119" t="str">
        <f>IF(E220="","",IF($G195="Coldwater",IF(E220&gt;=77,0,IF(E220&lt;=58.04,1,ROUND(E220*'Reference Curves'!$P$6+'Reference Curves'!$P$7,2)))))</f>
        <v/>
      </c>
      <c r="G220" s="120" cm="1">
        <f t="array" ref="G220">IF(G195="Warmwater","", IF(F220&lt;&gt;"",AVERAGE(F220),_xlfn.IFS(B193="Secondary",'Functional Loss'!$H$26,B193="Tertiary",'Functional Loss'!$H$28,TRUE,'Functional Loss'!$H$23)))</f>
        <v>1</v>
      </c>
      <c r="H220" s="465">
        <f>IFERROR(ROUND(AVERAGE(G220:G225),2),"")</f>
        <v>1</v>
      </c>
      <c r="I220" s="480" t="str">
        <f>IF(H220="","",IF(H220&gt;0.69,"Functioning",IF(H220&gt;0.29,"Functioning At Risk",IF(H220&gt;-1,"Not Functioning"))))</f>
        <v>Functioning</v>
      </c>
      <c r="J220" s="483"/>
    </row>
    <row r="221" spans="1:10" ht="15.95" customHeight="1" x14ac:dyDescent="0.5">
      <c r="A221" s="486"/>
      <c r="B221" s="81" t="s">
        <v>127</v>
      </c>
      <c r="C221" s="268" t="s">
        <v>370</v>
      </c>
      <c r="D221" s="99"/>
      <c r="E221" s="26"/>
      <c r="F221" s="119" t="str">
        <f>IF(E221="","",
ROUND(IF(E221&gt;='Reference Curves'!$P$16,0,
IF(E221&lt;=35,1,
IF(E221&gt;=121,E221*'Reference Curves'!$P$11+'Reference Curves'!$P$12,
E221*'Reference Curves'!$Q$11+'Reference Curves'!$Q$12))),2))</f>
        <v/>
      </c>
      <c r="G221" s="119" cm="1">
        <f t="array" ref="G221">IF(F221&lt;&gt;"",AVERAGE(F221),_xlfn.IFS(B193="Secondary",'Functional Loss'!$H$26,B193="Tertiary", 'Functional Loss'!$H$28, TRUE, 'Functional Loss'!$H$23))</f>
        <v>1</v>
      </c>
      <c r="H221" s="488"/>
      <c r="I221" s="489"/>
      <c r="J221" s="483"/>
    </row>
    <row r="222" spans="1:10" s="48" customFormat="1" ht="15.95" customHeight="1" x14ac:dyDescent="0.5">
      <c r="A222" s="486"/>
      <c r="B222" s="100" t="s">
        <v>196</v>
      </c>
      <c r="C222" s="100" t="s">
        <v>197</v>
      </c>
      <c r="D222" s="101"/>
      <c r="E222" s="14"/>
      <c r="F222" s="119" t="str">
        <f>IF(E222="","",
IF(E222&gt;=2.3,0,
IF(E222&lt;=0.4,1,
ROUND(IF(E222&lt;0.8,E222*'Reference Curves'!$Q$21+'Reference Curves'!$Q$22,E222*'Reference Curves'!$P$21+'Reference Curves'!$P$22),2))))</f>
        <v/>
      </c>
      <c r="G222" s="119" cm="1">
        <f t="array" ref="G222">IF(F222&lt;&gt;"",AVERAGE(F222),_xlfn.IFS(B193="Secondary",'Functional Loss'!$H$26, B193="Tertiary", 'Functional Loss'!$H$28, TRUE, 'Functional Loss'!$H$23))</f>
        <v>1</v>
      </c>
      <c r="H222" s="488"/>
      <c r="I222" s="489"/>
      <c r="J222" s="483"/>
    </row>
    <row r="223" spans="1:10" ht="15.95" customHeight="1" x14ac:dyDescent="0.5">
      <c r="A223" s="486"/>
      <c r="B223" s="100" t="s">
        <v>198</v>
      </c>
      <c r="C223" s="263" t="s">
        <v>199</v>
      </c>
      <c r="D223" s="269"/>
      <c r="E223" s="11"/>
      <c r="F223" s="119" t="str">
        <f>IF(E223="","",
IF(E223&gt;=0.2,0,
IF(E223&lt;=0.04,1,
ROUND(IF(E223&lt;0.08,E223*'Reference Curves'!$Q$26+'Reference Curves'!$Q$27,
E223*'Reference Curves'!$P$26+'Reference Curves'!$P$27),2))))</f>
        <v/>
      </c>
      <c r="G223" s="119" cm="1">
        <f t="array" ref="G223">IF(F223&lt;&gt;"",AVERAGE(F223),_xlfn.IFS(B193="Secondary",'Functional Loss'!$H$26, B193="Tertiary", 'Functional Loss'!$H$28, TRUE, 'Functional Loss'!$H$23))</f>
        <v>1</v>
      </c>
      <c r="H223" s="488"/>
      <c r="I223" s="489"/>
      <c r="J223" s="483"/>
    </row>
    <row r="224" spans="1:10" ht="15.95" customHeight="1" x14ac:dyDescent="0.5">
      <c r="A224" s="486"/>
      <c r="B224" s="490" t="s">
        <v>371</v>
      </c>
      <c r="C224" s="263" t="s">
        <v>372</v>
      </c>
      <c r="D224" s="270"/>
      <c r="E224" s="271"/>
      <c r="F224" s="119" t="str">
        <f>IF(E224="","",
IF(E224&gt;=100,0,
IF(E224&lt;=10,1,
ROUND(IF(E224&lt;50,E224*'Reference Curves'!$Q$32+'Reference Curves'!$Q$33,
E224*'Reference Curves'!$P$32+'Reference Curves'!$P$33),2)
)))</f>
        <v/>
      </c>
      <c r="G224" s="465" cm="1">
        <f t="array" ref="G224">IF(OR(F224&lt;&gt;"",F225&lt;&gt;""),AVERAGE(F224:F225), _xlfn.IFS(B193="Secondary",'Functional Loss'!$H$26,B193="Tertiary", 'Functional Loss'!$H$28, TRUE, 'Functional Loss'!$H$23))</f>
        <v>1</v>
      </c>
      <c r="H224" s="488"/>
      <c r="I224" s="489"/>
      <c r="J224" s="483"/>
    </row>
    <row r="225" spans="1:10" ht="15.95" customHeight="1" x14ac:dyDescent="0.5">
      <c r="A225" s="487"/>
      <c r="B225" s="491"/>
      <c r="C225" s="266" t="s">
        <v>373</v>
      </c>
      <c r="D225" s="264"/>
      <c r="E225" s="16"/>
      <c r="F225" s="265" t="str">
        <f>IF(E225="","",
IF(E225&gt;=100,0,
IF(E225&lt;=10,1,
ROUND(IF(E225&lt;50,E225*'Reference Curves'!$Q$32+'Reference Curves'!$Q$33,
E225*'Reference Curves'!$P$32+'Reference Curves'!$P$33),2)
)))</f>
        <v/>
      </c>
      <c r="G225" s="466"/>
      <c r="H225" s="466"/>
      <c r="I225" s="481"/>
      <c r="J225" s="483"/>
    </row>
    <row r="226" spans="1:10" ht="15.95" customHeight="1" x14ac:dyDescent="0.5">
      <c r="A226" s="476" t="s">
        <v>41</v>
      </c>
      <c r="B226" s="211" t="s">
        <v>81</v>
      </c>
      <c r="C226" s="56" t="s">
        <v>200</v>
      </c>
      <c r="D226" s="57"/>
      <c r="E226" s="273"/>
      <c r="F226" s="274" t="str">
        <f>IF(E226="","",
IF($D192="Blue Ridge Mountains",
ROUND(IF(E226&lt;=0,0,
IF(E226&gt;=36,1,
IF(E226&lt;=19,E226*'Reference Curves'!$S$6+'Reference Curves'!$S$7,
IF(E226&gt;=28, E226*'Reference Curves'!$U$6+'Reference Curves'!$U$7,
E226*'Reference Curves'!$T$6+'Reference Curves'!$T$7 )))),2),
IF($D192="Piedmont",
ROUND(IF(E226&lt;=0,0,
IF(E226&gt;=28,1,
IF(E226&lt;=14,E226*'Reference Curves'!$S$11+'Reference Curves'!$S$12,
IF(E226&gt;=21, E226*'Reference Curves'!$U$11+'Reference Curves'!$U$12,
E226*'Reference Curves'!$T$11+'Reference Curves'!$T$12)))),2),
IF(OR($D192="Southeastern Plains",$D192="Middle Atlantic Coastal Plain"),
ROUND(IF(E226&lt;=0,0,
IF(E226&gt;=15,1,
IF(E226&lt;=5, E226*'Reference Curves'!$S$16+'Reference Curves'!$S$17,
IF(E226&gt;=10,E226*'Reference Curves'!$U$16+'Reference Curves'!$U$17,
E226*'Reference Curves'!$T$16+'Reference Curves'!$T$17)))),2)))))</f>
        <v/>
      </c>
      <c r="G226" s="272" cm="1">
        <f t="array" ref="G226">IF(F226&lt;&gt;"",AVERAGE(F226),_xlfn.IFS(B193="Secondary",'Functional Loss'!$H$26, B193="Tertiary", 'Functional Loss'!$H$28, TRUE, 'Functional Loss'!$H$23))</f>
        <v>1</v>
      </c>
      <c r="H226" s="478">
        <f>IFERROR(ROUND(AVERAGE(G226:G227),2),"")</f>
        <v>1</v>
      </c>
      <c r="I226" s="480" t="str">
        <f>IF(H226="","",IF(H226&gt;0.69,"Functioning",IF(H226&gt;0.29,"Functioning At Risk",IF(H226&gt;-1,"Not Functioning"))))</f>
        <v>Functioning</v>
      </c>
      <c r="J226" s="483"/>
    </row>
    <row r="227" spans="1:10" s="48" customFormat="1" ht="15.95" customHeight="1" x14ac:dyDescent="0.5">
      <c r="A227" s="477"/>
      <c r="B227" s="211" t="s">
        <v>45</v>
      </c>
      <c r="C227" s="57" t="s">
        <v>374</v>
      </c>
      <c r="D227" s="57"/>
      <c r="E227" s="275"/>
      <c r="F227" s="210" t="str">
        <f>IF(E227="","",
IF($G196="1 - Upland Santee/Pee-Dee Basin",
IF(E227&lt;-1,0,
IF(E227&gt;1,1,
ROUND(IF(E227&gt;=0.05,E227*'Reference Curves'!$T$21+'Reference Curves'!$T$22,
E227*'Reference Curves'!$S$21+'Reference Curves'!$S$22),2))),
IF($G196="2 - Upland Savannah",
IF(E227&lt;-1,0,
IF(E227&gt;1,1,
ROUND(IF(E227&gt;=0.002,E227*'Reference Curves'!$T$26+'Reference Curves'!$T$27,
E227*'Reference Curves'!$S$26+'Reference Curves'!$S$27),2))),
IF($G196="3 - Lowland Perennial",
IF(E227&lt;-1,0,
IF(E227&gt;1,1,
ROUND(IF(E227&gt;=0.005,E227*'Reference Curves'!$T$31+'Reference Curves'!$T$32,
E227*'Reference Curves'!$S$31+'Reference Curves'!$S$32),2))),
IF($G196="4 - Lowland Stable Baseflow",
IF(E227&lt;-1,0,
IF(E227&gt;1,1,
ROUND(IF(E227&gt;=0.3,E227*'Reference Curves'!$T$36+'Reference Curves'!$T$37,
E227*'Reference Curves'!$S$36+'Reference Curves'!$S$37),2))))))))</f>
        <v/>
      </c>
      <c r="G227" s="120" cm="1">
        <f t="array" ref="G227">IF(F227&lt;&gt;"",AVERAGE(F227),_xlfn.IFS(B193="Secondary",'Functional Loss'!$H$26, B193="Tertiary", 'Functional Loss'!$H$28, TRUE, 'Functional Loss'!$H$23))</f>
        <v>1</v>
      </c>
      <c r="H227" s="479"/>
      <c r="I227" s="481"/>
      <c r="J227" s="484"/>
    </row>
    <row r="228" spans="1:10" s="48" customFormat="1" ht="15" customHeight="1" x14ac:dyDescent="0.45">
      <c r="I228" s="27"/>
    </row>
    <row r="229" spans="1:10" ht="30" customHeight="1" x14ac:dyDescent="0.65">
      <c r="A229" s="500" t="s">
        <v>395</v>
      </c>
      <c r="B229" s="501"/>
      <c r="C229" s="501"/>
      <c r="D229" s="501"/>
      <c r="E229" s="501"/>
      <c r="F229" s="501"/>
      <c r="G229" s="501"/>
      <c r="H229" s="501"/>
      <c r="I229" s="501"/>
      <c r="J229" s="502"/>
    </row>
    <row r="230" spans="1:10" ht="33" customHeight="1" x14ac:dyDescent="0.45">
      <c r="A230" s="121" t="s">
        <v>59</v>
      </c>
      <c r="B230" s="122">
        <f>'Project Summary'!$A16</f>
        <v>0</v>
      </c>
      <c r="C230" s="282" t="s">
        <v>146</v>
      </c>
      <c r="D230" s="283"/>
      <c r="E230" s="59" t="s">
        <v>236</v>
      </c>
      <c r="F230" s="121"/>
      <c r="G230" s="467"/>
      <c r="H230" s="468"/>
      <c r="I230" s="127" t="s">
        <v>95</v>
      </c>
      <c r="J230" s="123"/>
    </row>
    <row r="231" spans="1:10" ht="31.5" x14ac:dyDescent="0.45">
      <c r="A231" s="121" t="s">
        <v>201</v>
      </c>
      <c r="B231" s="122">
        <f>'Project Summary'!D16</f>
        <v>0</v>
      </c>
      <c r="C231" s="282" t="s">
        <v>60</v>
      </c>
      <c r="D231" s="284"/>
      <c r="E231" s="59" t="s">
        <v>237</v>
      </c>
      <c r="F231" s="124"/>
      <c r="G231" s="467"/>
      <c r="H231" s="468"/>
      <c r="I231" s="127" t="s">
        <v>96</v>
      </c>
      <c r="J231" s="123"/>
    </row>
    <row r="232" spans="1:10" ht="31.5" customHeight="1" x14ac:dyDescent="0.45">
      <c r="A232" s="121" t="s">
        <v>316</v>
      </c>
      <c r="B232" s="122">
        <f>'Functional Loss'!D15</f>
        <v>0</v>
      </c>
      <c r="C232" s="282" t="s">
        <v>94</v>
      </c>
      <c r="D232" s="284"/>
      <c r="E232" s="503" t="s">
        <v>346</v>
      </c>
      <c r="F232" s="504"/>
      <c r="G232" s="467"/>
      <c r="H232" s="468"/>
      <c r="I232" s="127" t="s">
        <v>97</v>
      </c>
      <c r="J232" s="123"/>
    </row>
    <row r="233" spans="1:10" ht="31.5" x14ac:dyDescent="0.45">
      <c r="A233" s="95" t="s">
        <v>392</v>
      </c>
      <c r="B233" s="122">
        <f>'Project Summary'!C16</f>
        <v>0</v>
      </c>
      <c r="C233" s="282" t="s">
        <v>73</v>
      </c>
      <c r="D233" s="284"/>
      <c r="E233" s="59" t="s">
        <v>147</v>
      </c>
      <c r="F233" s="126"/>
      <c r="G233" s="467"/>
      <c r="H233" s="468"/>
      <c r="I233" s="127" t="s">
        <v>98</v>
      </c>
      <c r="J233" s="123"/>
    </row>
    <row r="234" spans="1:10" ht="31.5" customHeight="1" x14ac:dyDescent="0.45">
      <c r="A234" s="59" t="s">
        <v>148</v>
      </c>
      <c r="B234" s="122">
        <f>'Project Summary'!B16</f>
        <v>0</v>
      </c>
      <c r="C234" s="282" t="s">
        <v>396</v>
      </c>
      <c r="D234" s="123"/>
      <c r="E234" s="472" t="s">
        <v>355</v>
      </c>
      <c r="F234" s="472"/>
      <c r="G234" s="467"/>
      <c r="H234" s="468"/>
      <c r="I234" s="121" t="s">
        <v>226</v>
      </c>
      <c r="J234" s="197"/>
    </row>
    <row r="235" spans="1:10" ht="28.5" customHeight="1" x14ac:dyDescent="0.65">
      <c r="A235" s="473" t="s">
        <v>39</v>
      </c>
      <c r="B235" s="473"/>
      <c r="C235" s="473"/>
      <c r="D235" s="473"/>
      <c r="E235" s="473"/>
      <c r="F235" s="473"/>
      <c r="G235" s="336" t="s">
        <v>348</v>
      </c>
      <c r="H235" s="336"/>
      <c r="I235" s="336"/>
      <c r="J235" s="336"/>
    </row>
    <row r="236" spans="1:10" ht="15.75" x14ac:dyDescent="0.5">
      <c r="A236" s="12" t="s">
        <v>1</v>
      </c>
      <c r="B236" s="12" t="s">
        <v>166</v>
      </c>
      <c r="C236" s="474" t="s">
        <v>165</v>
      </c>
      <c r="D236" s="475"/>
      <c r="E236" s="12" t="s">
        <v>8</v>
      </c>
      <c r="F236" s="171" t="s">
        <v>9</v>
      </c>
      <c r="G236" s="12" t="s">
        <v>10</v>
      </c>
      <c r="H236" s="12" t="s">
        <v>11</v>
      </c>
      <c r="I236" s="28" t="s">
        <v>11</v>
      </c>
      <c r="J236" s="12" t="s">
        <v>82</v>
      </c>
    </row>
    <row r="237" spans="1:10" ht="15.95" customHeight="1" x14ac:dyDescent="0.5">
      <c r="A237" s="492" t="s">
        <v>42</v>
      </c>
      <c r="B237" s="494" t="s">
        <v>65</v>
      </c>
      <c r="C237" s="166" t="s">
        <v>181</v>
      </c>
      <c r="D237" s="102"/>
      <c r="E237" s="11"/>
      <c r="F237" s="110" t="str">
        <f>IF(E237="","",IF(E237&gt;78,0,IF(E237&lt;55,1,ROUND(E237*'Reference Curves'!$B$6+'Reference Curves'!$B$7,2))))</f>
        <v/>
      </c>
      <c r="G237" s="454" cm="1">
        <f t="array" ref="G237">IF(OR(F237&lt;&gt;"",F238&lt;&gt;""),AVERAGE(F237:F238),_xlfn.IFS(B231="Secondary",'Functional Loss'!$H$26,B231="Tertiary",'Functional Loss'!$H$28,TRUE,'Functional Loss'!$H$23))</f>
        <v>1</v>
      </c>
      <c r="H237" s="496">
        <f>IFERROR(ROUND(AVERAGE(G237),2),"")</f>
        <v>1</v>
      </c>
      <c r="I237" s="498" t="str">
        <f>IF(H237="","",IF(H237&gt;0.69,"Functioning",IF(H237&gt;0.29,"Functioning At Risk",IF(H237&gt;-1,"Not Functioning"))))</f>
        <v>Functioning</v>
      </c>
      <c r="J237" s="482">
        <f>IF(AND(H237="",H239="",H242="",H258="",H264=""),"",ROUND((IF(H237="",0,H237)*0.2)+(IF(H239="",0,H239)*0.2)+(IF(H242="",0,H242)*0.2)+(IF(H258="",0,H258)*0.2)+(IF(H264="",0,H264)*0.2),2))</f>
        <v>1</v>
      </c>
    </row>
    <row r="238" spans="1:10" ht="15.95" customHeight="1" x14ac:dyDescent="0.5">
      <c r="A238" s="493"/>
      <c r="B238" s="495"/>
      <c r="C238" s="167" t="s">
        <v>143</v>
      </c>
      <c r="D238" s="103"/>
      <c r="E238" s="15"/>
      <c r="F238" s="111" t="str">
        <f>IF(E238="","",IF(E238&gt;3.33,0,IF(E238=0,1,ROUND(E238*'Reference Curves'!$B$10+'Reference Curves'!$B$11,2))))</f>
        <v/>
      </c>
      <c r="G238" s="455"/>
      <c r="H238" s="497"/>
      <c r="I238" s="498"/>
      <c r="J238" s="483"/>
    </row>
    <row r="239" spans="1:10" ht="15.95" customHeight="1" x14ac:dyDescent="0.5">
      <c r="A239" s="499" t="s">
        <v>2</v>
      </c>
      <c r="B239" s="452" t="s">
        <v>3</v>
      </c>
      <c r="C239" s="104" t="s">
        <v>182</v>
      </c>
      <c r="D239" s="104"/>
      <c r="E239" s="14"/>
      <c r="F239" s="60" t="str">
        <f>IF(E239="","",ROUND(IF(OR(E239&gt;1.71,E239&lt;0.34),0,IF(E239&lt;=1,1,E239*'Reference Curves'!$D$5+'Reference Curves'!$D$6)),2))</f>
        <v/>
      </c>
      <c r="G239" s="454" cm="1">
        <f t="array" ref="G239">IF(OR(F239&lt;&gt;"",F240&lt;&gt;""),AVERAGE(F239:F240), _xlfn.IFS(B231="Secondary",'Functional Loss'!$H$26,B231="Tertiary", 'Functional Loss'!$H$28, TRUE, 'Functional Loss'!$H$23))</f>
        <v>1</v>
      </c>
      <c r="H239" s="456">
        <f>IFERROR(ROUND(AVERAGE(G239:G241),2),"")</f>
        <v>1</v>
      </c>
      <c r="I239" s="459" t="str">
        <f>IF(H239="","",IF(H239&gt;0.69,"Functioning",IF(H239&gt;0.29,"Functioning At Risk",IF(H239&gt;-1,"Not Functioning"))))</f>
        <v>Functioning</v>
      </c>
      <c r="J239" s="483"/>
    </row>
    <row r="240" spans="1:10" ht="15.95" customHeight="1" x14ac:dyDescent="0.5">
      <c r="A240" s="452"/>
      <c r="B240" s="453"/>
      <c r="C240" s="105" t="s">
        <v>183</v>
      </c>
      <c r="D240" s="105"/>
      <c r="E240" s="15"/>
      <c r="F240" s="112" t="str">
        <f>IF(E240="","",
IF(LEFT($D232,1)="C",
ROUND(IF(E240&gt;=7.3,1,
IF(E240&lt;=1,0,
IF(E240&lt;=2.2, E240*'Reference Curves'!$D$10+'Reference Curves'!$D$11, E240*'Reference Curves'!$E$10+'Reference Curves'!$E$11))),2),
IF(LEFT($D232,1)="B",
ROUND(IF(E240&gt;=2,1,
IF(E240&lt;=1,0,
IF(E240&lt;=1.4,E240*'Reference Curves'!$D$20+'Reference Curves'!$D$21,E240*'Reference Curves'!$E$20+'Reference Curves'!$E$21))),2), IF(OR(LEFT($D232,1)="E"), ROUND(IF(E240&gt;=10,1,
IF(E240&lt;=1,0,
IF(E240&lt;=2.2,  E240*'Reference Curves'!$D$15+'Reference Curves'!$D$16,
E240*'Reference Curves'!$E$15+'Reference Curves'!$E$16))),2)))))</f>
        <v/>
      </c>
      <c r="G240" s="455"/>
      <c r="H240" s="457"/>
      <c r="I240" s="460"/>
      <c r="J240" s="483"/>
    </row>
    <row r="241" spans="1:10" ht="15.95" customHeight="1" x14ac:dyDescent="0.5">
      <c r="A241" s="453"/>
      <c r="B241" s="248" t="s">
        <v>184</v>
      </c>
      <c r="C241" s="104" t="s">
        <v>185</v>
      </c>
      <c r="D241" s="104"/>
      <c r="E241" s="14"/>
      <c r="F241" s="60" t="str">
        <f>IF(E241="","",(IF(E241&gt;=1.8,0,  IF(E241=1,1,ROUND(IF(E241&gt;1,E241*'Reference Curves'!$E$25+'Reference Curves'!$E$26, IF(E239&gt;1.2, IF(E241&lt;=0.2,0,E241*'Reference Curves'!$D$25+'Reference Curves'!$D$26),1)),2)))))</f>
        <v/>
      </c>
      <c r="G241" s="120" cm="1">
        <f t="array" ref="G241">IF(OR(D232="D",D232="DA"),"",IF(F241&lt;&gt;"",IFERROR(AVERAGE(F241),""),_xlfn.IFS(B231="Secondary",'Functional Loss'!$H$26, B231="Tertiary", 'Functional Loss'!$H$28, TRUE, 'Functional Loss'!$H$23)))</f>
        <v>1</v>
      </c>
      <c r="H241" s="458"/>
      <c r="I241" s="461"/>
      <c r="J241" s="483"/>
    </row>
    <row r="242" spans="1:10" ht="15.95" customHeight="1" x14ac:dyDescent="0.5">
      <c r="A242" s="462" t="s">
        <v>14</v>
      </c>
      <c r="B242" s="462" t="s">
        <v>15</v>
      </c>
      <c r="C242" s="162" t="s">
        <v>13</v>
      </c>
      <c r="D242" s="163"/>
      <c r="E242" s="11"/>
      <c r="F242" s="113" t="str">
        <f>IF(E242="","",ROUND(IF(E242&gt;=731,1,IF(E242&lt;=0,0,IF(E242&lt;355,E242*'Reference Curves'!$G$6+'Reference Curves'!$G$7,E242*'Reference Curves'!$H$6+'Reference Curves'!$H$7))),2))</f>
        <v/>
      </c>
      <c r="G242" s="454" cm="1">
        <f t="array" ref="G242">IF(OR(F242&lt;&gt;"",F243&lt;&gt;""),AVERAGE(F242:F243), _xlfn.IFS(B231="Secondary",'Functional Loss'!$H$26,B231="Tertiary", 'Functional Loss'!$H$28, TRUE, 'Functional Loss'!$H$23))</f>
        <v>1</v>
      </c>
      <c r="H242" s="464">
        <f>IFERROR(ROUND(AVERAGE(G242:G257),2),"")</f>
        <v>1</v>
      </c>
      <c r="I242" s="459" t="str">
        <f>IF(H242="","",IF(H242&gt;0.69,"Functioning",IF(H242&gt;0.29,"Functioning At Risk",IF(H242&gt;-1,"Not Functioning"))))</f>
        <v>Functioning</v>
      </c>
      <c r="J242" s="483"/>
    </row>
    <row r="243" spans="1:10" ht="15.95" customHeight="1" x14ac:dyDescent="0.5">
      <c r="A243" s="469"/>
      <c r="B243" s="463"/>
      <c r="C243" s="160" t="s">
        <v>186</v>
      </c>
      <c r="D243" s="161"/>
      <c r="E243" s="15"/>
      <c r="F243" s="25" t="str">
        <f>IF(E243="","",ROUND(IF(E243&gt;=28,1,IF(E243&lt;16,E243*'Reference Curves'!$G$11+'Reference Curves'!$G$12,E243*'Reference Curves'!$H$11+'Reference Curves'!$H$12)),2))</f>
        <v/>
      </c>
      <c r="G243" s="455"/>
      <c r="H243" s="464"/>
      <c r="I243" s="460"/>
      <c r="J243" s="483"/>
    </row>
    <row r="244" spans="1:10" ht="15.95" customHeight="1" x14ac:dyDescent="0.5">
      <c r="A244" s="469"/>
      <c r="B244" s="469" t="s">
        <v>92</v>
      </c>
      <c r="C244" s="106" t="s">
        <v>187</v>
      </c>
      <c r="D244" s="106"/>
      <c r="E244" s="114"/>
      <c r="F244" s="24" t="str">
        <f>IF(E244="","",
ROUND(IF(E244&gt;=0.71,0,
IF(E244&lt;=0.1,1,
IF(E244&lt;=0.2,E244*'Reference Curves'!$I$16+'Reference Curves'!$I$17,
IF(E244&gt;=0.4,E244*'Reference Curves'!$G$16+'Reference Curves'!$G$17,
E244*'Reference Curves'!$H$16+'Reference Curves'!$H$17)))),2))</f>
        <v/>
      </c>
      <c r="G244" s="471" cm="1">
        <f t="array" ref="G244">IF(E247&gt;50,0,IF(OR(F244&lt;&gt;"",F245&lt;&gt;"",F246&lt;&gt;"",F247&lt;&gt;""),AVERAGE(F244:F247),_xlfn.IFS(B231="Secondary",'Functional Loss'!$H$26,B231="Tertiary",'Functional Loss'!$H$28,TRUE,'Functional Loss'!$H$23)))</f>
        <v>1</v>
      </c>
      <c r="H244" s="464"/>
      <c r="I244" s="460"/>
      <c r="J244" s="483"/>
    </row>
    <row r="245" spans="1:10" ht="15.95" customHeight="1" x14ac:dyDescent="0.5">
      <c r="A245" s="469"/>
      <c r="B245" s="469"/>
      <c r="C245" s="106" t="s">
        <v>36</v>
      </c>
      <c r="D245" s="106"/>
      <c r="E245" s="115"/>
      <c r="F245" s="8" t="str">
        <f>IF(E245="","",IF(OR(E245="Ex/VL",E245="VH/VL",E245="H/M",E245="H/L",E245="H/VL"),0.2, IF(OR(LEFT(E245,2)="Ex",E245="VH/Ex",E245="VH/VH", E245="VH/H"),0,IF(OR(E245="VH/M",E245="VH/L",E245="H/Ex", E245="H/VH", E245="H/H"),0.1, IF(OR(E245="M/Ex",E245="M/VH"),0.3, IF(E245="M/H",0.4, IF(E245="M/M",0.5, IF(OR(E245="M/L",E245="M/VL"),0.6, IF(E245="L/Ex",0.7, IF(OR(LEFT(E245,1)="L",LEFT(E245,2)="VL"),1))))))))))</f>
        <v/>
      </c>
      <c r="G245" s="471"/>
      <c r="H245" s="464"/>
      <c r="I245" s="460"/>
      <c r="J245" s="483"/>
    </row>
    <row r="246" spans="1:10" ht="15.95" customHeight="1" x14ac:dyDescent="0.5">
      <c r="A246" s="469"/>
      <c r="B246" s="469"/>
      <c r="C246" s="164" t="s">
        <v>48</v>
      </c>
      <c r="D246" s="106"/>
      <c r="E246" s="114"/>
      <c r="F246" s="8" t="str">
        <f>IF(E246="","",ROUND(IF(E246&gt;=50,0,IF(E246&lt;=5,1,IF(E246&gt;11,E246*'Reference Curves'!$G$21+'Reference Curves'!$G$22,E246*'Reference Curves'!$H$21+'Reference Curves'!$H$22))),2))</f>
        <v/>
      </c>
      <c r="G246" s="471"/>
      <c r="H246" s="464"/>
      <c r="I246" s="460"/>
      <c r="J246" s="483"/>
    </row>
    <row r="247" spans="1:10" ht="15.95" customHeight="1" x14ac:dyDescent="0.5">
      <c r="A247" s="469"/>
      <c r="B247" s="469"/>
      <c r="C247" s="107" t="s">
        <v>124</v>
      </c>
      <c r="D247" s="107"/>
      <c r="E247" s="16"/>
      <c r="F247" s="25" t="str">
        <f>IF(E247="","",ROUND(IF(E247&gt;=30,0,E247*'Reference Curves'!$G$25+'Reference Curves'!$G$26),2))</f>
        <v/>
      </c>
      <c r="G247" s="471"/>
      <c r="H247" s="464"/>
      <c r="I247" s="460"/>
      <c r="J247" s="483"/>
    </row>
    <row r="248" spans="1:10" ht="15.95" customHeight="1" x14ac:dyDescent="0.5">
      <c r="A248" s="469"/>
      <c r="B248" s="462" t="s">
        <v>37</v>
      </c>
      <c r="C248" s="108" t="s">
        <v>144</v>
      </c>
      <c r="D248" s="163"/>
      <c r="E248" s="58"/>
      <c r="F248" s="116" t="str">
        <f>IF(E248="","",
IF(AND($G231="Single Family Residential",$G230="&lt; 5 %"),
ROUND(IF(E248&lt;=0,0,IF(E248&gt;=300,1,IF(E248&gt;=50, E248*'Reference Curves'!$H$31 +'Reference Curves'!$H$32,
E248*'Reference Curves'!$G$31 +'Reference Curves'!$G$32))),2),
IF(AND($G231="Single Family Residential",$G230="5 - 20 %"),
ROUND(IF(E248&lt;=0,0,IF(E248&gt;=300,1,IF(E248&gt;=100,E248*'Reference Curves'!$J$31+'Reference Curves'!$J$32,
E248*'Reference Curves'!$I$31+'Reference Curves'!$I$32))),2),
IF(AND($G231="Single Family Residential",$G230="21 - 40 %"),
ROUND(IF(E248&lt;=0,0,IF(E248&gt;=300,1,IF(E248&gt;=150,E248*'Reference Curves'!$L$31+'Reference Curves'!$L$32,
E248*'Reference Curves'!$K$31+'Reference Curves'!$K$32))),2),
IF(AND($G231="Single Family Residential",$G230="&gt; 40 %"),
ROUND(IF(E248&lt;=0,0,IF(E248&gt;=300,1,IF(E248&gt;=200,E248*'Reference Curves'!$N$31+'Reference Curves'!$N$32,
E248*'Reference Curves'!$M$31+'Reference Curves'!$M$32))),2),                           IF(AND($G231="Multi-Family Residential",$G230="&lt; 5 %"),
ROUND(IF(E248&lt;=0,0,IF(E248&gt;=293,1,IF(E248&gt;=60,E248*'Reference Curves'!$H$37+'Reference Curves'!$H$38,
E248*'Reference Curves'!$G$37+'Reference Curves'!$G$38))),2),
IF(AND($G231="Multi-Family Residential",$G230="5 - 20 %"),
ROUND(IF(E248&lt;=0,0,IF(E248&gt;=293,1,IF(E248&gt;=120, E248*'Reference Curves'!$J$37+'Reference Curves'!$J$38,
E248*'Reference Curves'!$I$37+'Reference Curves'!$I$38))),2),
IF(AND($G231="Multi-Family Residential",$G230="21 - 40 %"),
ROUND(IF(E248&lt;=0,0,IF(E248&gt;=300,1, IF(E248&gt;=180, E248*'Reference Curves'!$L$37+'Reference Curves'!$L$38,
E248*'Reference Curves'!$K$37+'Reference Curves'!$K$38))),2),
IF(AND($G231="Multi-Family Residential",$G230="&gt; 40 %"),
ROUND(IF(E248&lt;=0,0,IF(E248&gt;=345,1,E248*'Reference Curves'!$M$37+'Reference Curves'!$M$38)),2),
IF(AND($G231="Commercial / Golf Course / Agriculture / Silviculture", $G230="&lt; 5 %"),
ROUND(IF(E248&lt;=0,0, IF(E248&gt;=300,1, IF(E248&gt;=150,E248*'Reference Curves'!$H$43+'Reference Curves'!$H$44,
E248*'Reference Curves'!$G$43+'Reference Curves'!$G$44))),2),
IF(AND($G231="Commercial / Golf Course / Agriculture / Silviculture", $G230="5 - 20 %"),
ROUND(IF(E248&lt;=0,0, IF(E248&gt;=300,1, IF(E248&gt;=150,E248*'Reference Curves'!$H$43+'Reference Curves'!$H$44,
E248*'Reference Curves'!$G$43+'Reference Curves'!$G$44))),2),
IF(AND($G231="Commercial / Golf Course / Agriculture / Silviculture",$G230="21 - 40 %"),
ROUND(IF(E248&lt;=0,0,IF(E248&gt;=322.5,1, E248*'Reference Curves'!$I$43+'Reference Curves'!$I$44)),2),
IF(AND($G231="Commercial / Golf Course / Agriculture / Silviculture",$G230="&gt; 40 %"),
ROUND(IF(E248&lt;=0,0,IF(E248&gt;=434.7,1,E248*'Reference Curves'!$J$43+'Reference Curves'!$J$44)),2),
                   IF(AND($G231="Industrial / Landfill", $G230="&lt; 5 %"),
ROUND(IF(E248&lt;=0,0,IF(E248&gt;=300,1,IF(E248&gt;=150, E248*'Reference Curves'!$H$49+'Reference Curves'!$H$50,
E248*'Reference Curves'!$G$49+'Reference Curves'!$G$50))),2),
IF(AND($G231="Industrial / Landfill", $G230="5 - 20 %"),
ROUND(IF(E248&lt;=0,0,IF(E248&gt;=357.1,1, E248*'Reference Curves'!$I$49+'Reference Curves'!$I$50)),2),
IF(AND($G231="Industrial / Landfill",$G230="21 - 40 %"),
ROUND(IF(E248&lt;=0,0,IF(E248&gt;=499.9,1, E248*'Reference Curves'!$J$49+'Reference Curves'!$J$50)),2)))))))))))))))))</f>
        <v/>
      </c>
      <c r="G248" s="454" cm="1">
        <f t="array" ref="G248">IF(OR(F248&lt;&gt;"",F249&lt;&gt;"",F250&lt;&gt;"",F251&lt;&gt;"", F252&lt;&gt;"",F253&lt;&gt;""),AVERAGE(F248:F253), _xlfn.IFS(B231="Secondary",'Functional Loss'!$H$26, B231="Tertiary", 'Functional Loss'!$H$28, TRUE, 'Functional Loss'!$H$23))</f>
        <v>1</v>
      </c>
      <c r="H248" s="464"/>
      <c r="I248" s="460"/>
      <c r="J248" s="483"/>
    </row>
    <row r="249" spans="1:10" ht="15.95" customHeight="1" x14ac:dyDescent="0.5">
      <c r="A249" s="469"/>
      <c r="B249" s="469"/>
      <c r="C249" s="106" t="s">
        <v>159</v>
      </c>
      <c r="D249" s="165"/>
      <c r="E249" s="32"/>
      <c r="F249" s="117" t="str">
        <f>IF(E249="","",ROUND(IF(E249&gt;=9.3,1,E249*'Reference Curves'!$G$53+'Reference Curves'!$G$54),2))</f>
        <v/>
      </c>
      <c r="G249" s="470"/>
      <c r="H249" s="464"/>
      <c r="I249" s="460"/>
      <c r="J249" s="483"/>
    </row>
    <row r="250" spans="1:10" ht="15.95" customHeight="1" x14ac:dyDescent="0.5">
      <c r="A250" s="469"/>
      <c r="B250" s="469"/>
      <c r="C250" s="106" t="s">
        <v>188</v>
      </c>
      <c r="D250" s="165"/>
      <c r="E250" s="32"/>
      <c r="F250" s="117" t="str">
        <f>IF(E250="","",ROUND(IF(AND(E250&gt;=135,E250&lt;=262),1,IF(E250&gt;=366,0.5,IF(E250&lt;135,E250*'Reference Curves'!$G$57+'Reference Curves'!$G$58,E250*'Reference Curves'!$H$57+'Reference Curves'!$H$58))),2))</f>
        <v/>
      </c>
      <c r="G250" s="470"/>
      <c r="H250" s="464"/>
      <c r="I250" s="460"/>
      <c r="J250" s="483"/>
    </row>
    <row r="251" spans="1:10" ht="15.95" customHeight="1" x14ac:dyDescent="0.5">
      <c r="A251" s="469"/>
      <c r="B251" s="469"/>
      <c r="C251" s="106" t="s">
        <v>189</v>
      </c>
      <c r="D251" s="165"/>
      <c r="E251" s="32"/>
      <c r="F251" s="117" t="str">
        <f>IF(E251="","",  IF($G$4="&lt; 20 %",ROUND(IF(E251&gt;=566,1,E251*'Reference Curves'!$G$61+'Reference Curves'!$G$62),2)))</f>
        <v/>
      </c>
      <c r="G251" s="470"/>
      <c r="H251" s="464"/>
      <c r="I251" s="460"/>
      <c r="J251" s="483"/>
    </row>
    <row r="252" spans="1:10" ht="15.95" customHeight="1" x14ac:dyDescent="0.5">
      <c r="A252" s="469"/>
      <c r="B252" s="469"/>
      <c r="C252" s="106" t="s">
        <v>145</v>
      </c>
      <c r="D252" s="165"/>
      <c r="E252" s="32"/>
      <c r="F252" s="117" t="str">
        <f>IF(E252="","", ROUND(IF(E252&gt;=75,1,E252*'Reference Curves'!$G$65+'Reference Curves'!$G$66),2))</f>
        <v/>
      </c>
      <c r="G252" s="470"/>
      <c r="H252" s="464"/>
      <c r="I252" s="460"/>
      <c r="J252" s="483"/>
    </row>
    <row r="253" spans="1:10" ht="15.95" customHeight="1" x14ac:dyDescent="0.5">
      <c r="A253" s="469"/>
      <c r="B253" s="469"/>
      <c r="C253" s="106" t="s">
        <v>190</v>
      </c>
      <c r="D253" s="165"/>
      <c r="E253" s="32"/>
      <c r="F253" s="117" t="str">
        <f>IF(E253="","",IF(E253&gt;=100,0,ROUND(IF(E253&lt;=0,1,E253*'Reference Curves'!$G$69+'Reference Curves'!$G$70),2)))</f>
        <v/>
      </c>
      <c r="G253" s="470"/>
      <c r="H253" s="464"/>
      <c r="I253" s="460"/>
      <c r="J253" s="483"/>
    </row>
    <row r="254" spans="1:10" s="48" customFormat="1" ht="15.95" customHeight="1" x14ac:dyDescent="0.5">
      <c r="A254" s="469"/>
      <c r="B254" s="463"/>
      <c r="C254" s="106" t="s">
        <v>191</v>
      </c>
      <c r="D254" s="165"/>
      <c r="E254" s="32"/>
      <c r="F254" s="117"/>
      <c r="G254" s="455"/>
      <c r="H254" s="464"/>
      <c r="I254" s="460"/>
      <c r="J254" s="483"/>
    </row>
    <row r="255" spans="1:10" ht="15.95" customHeight="1" x14ac:dyDescent="0.5">
      <c r="A255" s="469"/>
      <c r="B255" s="462" t="s">
        <v>38</v>
      </c>
      <c r="C255" s="108" t="s">
        <v>192</v>
      </c>
      <c r="D255" s="163"/>
      <c r="E255" s="11"/>
      <c r="F255" s="24" t="str">
        <f>IF(E255="","",
IF($D232="Bc", ROUND(IF(E255&lt;=5,1,
IF(E255&gt;=8,0,
IF(E255&lt;6,E255*'Reference Curves'!$G$79+'Reference Curves'!$G$80,E255*'Reference Curves'!$H$79+'Reference Curves'!$H$80))),2),       IF(OR(LEFT($D232,1)="B",LEFT($D232,1)="A"),
ROUND(IF(E255&lt;=4,1,
IF(E255&gt;=6.5,0,
IF(E255&lt;5,E255*'Reference Curves'!$G$74+'Reference Curves'!$G$75, E255*'Reference Curves'!$H$74+'Reference Curves'!$H$75))),2),   IF(OR(LEFT($D232,1)="E",LEFT($D232,1)="C"),
ROUND(IF(OR(E255&gt;=9,E255&lt;=1),0,
IF(AND(E255&gt;=3.5,E255&lt;=6),1,
IF(E255&lt;3.5,E255*'Reference Curves'!$G$84+'Reference Curves'!$G$85,
E255*'Reference Curves'!$H$84+'Reference Curves'!$H$85))),2)))))</f>
        <v/>
      </c>
      <c r="G255" s="454" cm="1">
        <f t="array" ref="G255">IF(OR(D232="D",D232="DA"),"",IF(OR(F255&lt;&gt;"",F256&lt;&gt;"",F257&lt;&gt;""),AVERAGE(F255:F257),_xlfn.IFS(B231="Secondary",'Functional Loss'!$H$26,B231="Tertiary",'Functional Loss'!$H$28,TRUE,'Functional Loss'!$H$23)))</f>
        <v>1</v>
      </c>
      <c r="H255" s="464"/>
      <c r="I255" s="460"/>
      <c r="J255" s="483"/>
    </row>
    <row r="256" spans="1:10" ht="15.95" customHeight="1" x14ac:dyDescent="0.5">
      <c r="A256" s="469"/>
      <c r="B256" s="469"/>
      <c r="C256" s="106" t="s">
        <v>193</v>
      </c>
      <c r="D256" s="165"/>
      <c r="E256" s="14"/>
      <c r="F256" s="8" t="str">
        <f>IF(E256="","",IF(LEFT($D232,1)="A",
IF(E256&gt;=1.7,1,
IF(E256&lt;=1,0,
ROUND(IF(E256&lt;=1.1,'Reference Curves'!$G$89+'Reference Curves'!$G$90,
(IF(E256&gt;=1.4,E256*'Reference Curves'!$I$89+'Reference Curves'!$I$90,
E256*'Reference Curves'!$H$89+'Reference Curves'!$H$90))),2))),            IF(LEFT($D232,1)="B",
IF(E256&gt;=2.9,1,
IF(E256&lt;=1,0,
ROUND(IF(E256&lt;=2,E256*'Reference Curves'!$G$94+'Reference Curves'!$G$95,
(IF(E256&gt;=2.3,E256*'Reference Curves'!$I$94+'Reference Curves'!$I$95,
E256*'Reference Curves'!$H$94+'Reference Curves'!$H$95))),2))),     IF(LEFT($D232,1)="C",
IF(E256&gt;=2.3,1,
IF(E256&lt;=1,0,
ROUND(IF(E256&lt;=1.2,E256*'Reference Curves'!$G$99+'Reference Curves'!$G$100,
IF(E256&gt;=1.9, E256*'Reference Curves'!$I$99+'Reference Curves'!$I$100,
E256*'Reference Curves'!$H$99+'Reference Curves'!$H$100)),2))),          IF(LEFT($D232,1)="E",
IF(E256&gt;=2.1,1,
IF(E256&lt;=1,0,
ROUND(IF(E256&gt;=1.7, E256*'Reference Curves'!$I$104+'Reference Curves'!$I$105, IF(E256&lt;=1.4,
E256*'Reference Curves'!$G$104+'Reference Curves'!$G$105,E256*'Reference Curves'!$H$104+'Reference Curves'!$H$105)),2))))))))</f>
        <v/>
      </c>
      <c r="G256" s="470"/>
      <c r="H256" s="464"/>
      <c r="I256" s="460"/>
      <c r="J256" s="483"/>
    </row>
    <row r="257" spans="1:10" ht="15.95" customHeight="1" x14ac:dyDescent="0.5">
      <c r="A257" s="469"/>
      <c r="B257" s="463"/>
      <c r="C257" s="109" t="s">
        <v>80</v>
      </c>
      <c r="D257" s="161"/>
      <c r="E257" s="14"/>
      <c r="F257" s="118" t="str">
        <f>IF(E257="","",IF(OR(LEFT($D232,1)="F",LEFT($D232,1)="G",LEFT($D232,1)="D"),"FALSE",
IF(LEFT($D232,1)="A",
ROUND(IF(OR(E257&gt;=100,E257&lt;=0),0,IF(E257&lt;=54,E257*'Reference Curves'!$G$109+'Reference Curves'!$G$110,
IF(E257&gt;=62,E257*'Reference Curves'!$H$109+'Reference Curves'!$H$110,1))),2),IF(LEFT($D232,1)="B",
ROUND(IF(OR(E257&gt;=100,E257&lt;=0),0,IF(E257&lt;=53,E257*'Reference Curves'!$G$114+'Reference Curves'!$G$115,
IF(E257&gt;=61,E257*'Reference Curves'!$H$114+'Reference Curves'!$H$115,1))),2),
IF(LEFT($D232,1)="C",
ROUND(IF(OR(E257&gt;=100,E257&lt;=0),0,
IF(E257&lt;45,E257*'Reference Curves'!$G$119+'Reference Curves'!$G$120,
IF(E257&gt;=64,E257*'Reference Curves'!$H$119+'Reference Curves'!$H$120,1))),2),
IF(LEFT($D232,1)="E",
ROUND(IF(OR(E257&gt;=100,E257&lt;=0),0,
IF(E257&lt;43,E257*'Reference Curves'!$G$124+'Reference Curves'!$G$125,
IF(E257&gt;=63,E257*'Reference Curves'!$H$124+'Reference Curves'!$H$125,1))),2),))))))</f>
        <v/>
      </c>
      <c r="G257" s="470"/>
      <c r="H257" s="464"/>
      <c r="I257" s="461"/>
      <c r="J257" s="483"/>
    </row>
    <row r="258" spans="1:10" ht="15.95" customHeight="1" x14ac:dyDescent="0.5">
      <c r="A258" s="485" t="s">
        <v>40</v>
      </c>
      <c r="B258" s="249" t="s">
        <v>103</v>
      </c>
      <c r="C258" s="267" t="s">
        <v>235</v>
      </c>
      <c r="D258" s="98"/>
      <c r="E258" s="26"/>
      <c r="F258" s="119" t="str">
        <f>IF(E258="","",IF($G233="Coldwater",IF(E258&gt;=77,0,IF(E258&lt;=58.04,1,ROUND(E258*'Reference Curves'!$P$6+'Reference Curves'!$P$7,2)))))</f>
        <v/>
      </c>
      <c r="G258" s="120" cm="1">
        <f t="array" ref="G258">IF(G233="Warmwater","", IF(F258&lt;&gt;"",AVERAGE(F258),_xlfn.IFS(B231="Secondary",'Functional Loss'!$H$26,B231="Tertiary",'Functional Loss'!$H$28,TRUE,'Functional Loss'!$H$23)))</f>
        <v>1</v>
      </c>
      <c r="H258" s="465">
        <f>IFERROR(ROUND(AVERAGE(G258:G263),2),"")</f>
        <v>1</v>
      </c>
      <c r="I258" s="480" t="str">
        <f>IF(H258="","",IF(H258&gt;0.69,"Functioning",IF(H258&gt;0.29,"Functioning At Risk",IF(H258&gt;-1,"Not Functioning"))))</f>
        <v>Functioning</v>
      </c>
      <c r="J258" s="483"/>
    </row>
    <row r="259" spans="1:10" ht="15.95" customHeight="1" x14ac:dyDescent="0.5">
      <c r="A259" s="486"/>
      <c r="B259" s="81" t="s">
        <v>127</v>
      </c>
      <c r="C259" s="268" t="s">
        <v>370</v>
      </c>
      <c r="D259" s="99"/>
      <c r="E259" s="26"/>
      <c r="F259" s="119" t="str">
        <f>IF(E259="","",
ROUND(IF(E259&gt;='Reference Curves'!$P$16,0,
IF(E259&lt;=35,1,
IF(E259&gt;=121,E259*'Reference Curves'!$P$11+'Reference Curves'!$P$12,
E259*'Reference Curves'!$Q$11+'Reference Curves'!$Q$12))),2))</f>
        <v/>
      </c>
      <c r="G259" s="119" cm="1">
        <f t="array" ref="G259">IF(F259&lt;&gt;"",AVERAGE(F259),_xlfn.IFS(B231="Secondary",'Functional Loss'!$H$26,B231="Tertiary", 'Functional Loss'!$H$28, TRUE, 'Functional Loss'!$H$23))</f>
        <v>1</v>
      </c>
      <c r="H259" s="488"/>
      <c r="I259" s="489"/>
      <c r="J259" s="483"/>
    </row>
    <row r="260" spans="1:10" s="48" customFormat="1" ht="15.95" customHeight="1" x14ac:dyDescent="0.5">
      <c r="A260" s="486"/>
      <c r="B260" s="100" t="s">
        <v>196</v>
      </c>
      <c r="C260" s="100" t="s">
        <v>197</v>
      </c>
      <c r="D260" s="101"/>
      <c r="E260" s="14"/>
      <c r="F260" s="119" t="str">
        <f>IF(E260="","",
IF(E260&gt;=2.3,0,
IF(E260&lt;=0.4,1,
ROUND(IF(E260&lt;0.8,E260*'Reference Curves'!$Q$21+'Reference Curves'!$Q$22,E260*'Reference Curves'!$P$21+'Reference Curves'!$P$22),2))))</f>
        <v/>
      </c>
      <c r="G260" s="119" cm="1">
        <f t="array" ref="G260">IF(F260&lt;&gt;"",AVERAGE(F260),_xlfn.IFS(B231="Secondary",'Functional Loss'!$H$26, B231="Tertiary", 'Functional Loss'!$H$28, TRUE, 'Functional Loss'!$H$23))</f>
        <v>1</v>
      </c>
      <c r="H260" s="488"/>
      <c r="I260" s="489"/>
      <c r="J260" s="483"/>
    </row>
    <row r="261" spans="1:10" ht="15.95" customHeight="1" x14ac:dyDescent="0.5">
      <c r="A261" s="486"/>
      <c r="B261" s="100" t="s">
        <v>198</v>
      </c>
      <c r="C261" s="263" t="s">
        <v>199</v>
      </c>
      <c r="D261" s="269"/>
      <c r="E261" s="11"/>
      <c r="F261" s="119" t="str">
        <f>IF(E261="","",
IF(E261&gt;=0.2,0,
IF(E261&lt;=0.04,1,
ROUND(IF(E261&lt;0.08,E261*'Reference Curves'!$Q$26+'Reference Curves'!$Q$27,
E261*'Reference Curves'!$P$26+'Reference Curves'!$P$27),2))))</f>
        <v/>
      </c>
      <c r="G261" s="119" cm="1">
        <f t="array" ref="G261">IF(F261&lt;&gt;"",AVERAGE(F261),_xlfn.IFS(B231="Secondary",'Functional Loss'!$H$26, B231="Tertiary", 'Functional Loss'!$H$28, TRUE, 'Functional Loss'!$H$23))</f>
        <v>1</v>
      </c>
      <c r="H261" s="488"/>
      <c r="I261" s="489"/>
      <c r="J261" s="483"/>
    </row>
    <row r="262" spans="1:10" ht="15.95" customHeight="1" x14ac:dyDescent="0.5">
      <c r="A262" s="486"/>
      <c r="B262" s="490" t="s">
        <v>371</v>
      </c>
      <c r="C262" s="263" t="s">
        <v>372</v>
      </c>
      <c r="D262" s="270"/>
      <c r="E262" s="271"/>
      <c r="F262" s="119" t="str">
        <f>IF(E262="","",
IF(E262&gt;=100,0,
IF(E262&lt;=10,1,
ROUND(IF(E262&lt;50,E262*'Reference Curves'!$Q$32+'Reference Curves'!$Q$33,
E262*'Reference Curves'!$P$32+'Reference Curves'!$P$33),2)
)))</f>
        <v/>
      </c>
      <c r="G262" s="465" cm="1">
        <f t="array" ref="G262">IF(OR(F262&lt;&gt;"",F263&lt;&gt;""),AVERAGE(F262:F263), _xlfn.IFS(B231="Secondary",'Functional Loss'!$H$26,B231="Tertiary", 'Functional Loss'!$H$28, TRUE, 'Functional Loss'!$H$23))</f>
        <v>1</v>
      </c>
      <c r="H262" s="488"/>
      <c r="I262" s="489"/>
      <c r="J262" s="483"/>
    </row>
    <row r="263" spans="1:10" ht="15.95" customHeight="1" x14ac:dyDescent="0.5">
      <c r="A263" s="487"/>
      <c r="B263" s="491"/>
      <c r="C263" s="266" t="s">
        <v>373</v>
      </c>
      <c r="D263" s="264"/>
      <c r="E263" s="16"/>
      <c r="F263" s="265" t="str">
        <f>IF(E263="","",
IF(E263&gt;=100,0,
IF(E263&lt;=10,1,
ROUND(IF(E263&lt;50,E263*'Reference Curves'!$Q$32+'Reference Curves'!$Q$33,
E263*'Reference Curves'!$P$32+'Reference Curves'!$P$33),2)
)))</f>
        <v/>
      </c>
      <c r="G263" s="466"/>
      <c r="H263" s="466"/>
      <c r="I263" s="481"/>
      <c r="J263" s="483"/>
    </row>
    <row r="264" spans="1:10" ht="15.95" customHeight="1" x14ac:dyDescent="0.5">
      <c r="A264" s="476" t="s">
        <v>41</v>
      </c>
      <c r="B264" s="211" t="s">
        <v>81</v>
      </c>
      <c r="C264" s="56" t="s">
        <v>200</v>
      </c>
      <c r="D264" s="57"/>
      <c r="E264" s="273"/>
      <c r="F264" s="274" t="str">
        <f>IF(E264="","",
IF($D230="Blue Ridge Mountains",
ROUND(IF(E264&lt;=0,0,
IF(E264&gt;=36,1,
IF(E264&lt;=19,E264*'Reference Curves'!$S$6+'Reference Curves'!$S$7,
IF(E264&gt;=28, E264*'Reference Curves'!$U$6+'Reference Curves'!$U$7,
E264*'Reference Curves'!$T$6+'Reference Curves'!$T$7 )))),2),
IF($D230="Piedmont",
ROUND(IF(E264&lt;=0,0,
IF(E264&gt;=28,1,
IF(E264&lt;=14,E264*'Reference Curves'!$S$11+'Reference Curves'!$S$12,
IF(E264&gt;=21, E264*'Reference Curves'!$U$11+'Reference Curves'!$U$12,
E264*'Reference Curves'!$T$11+'Reference Curves'!$T$12)))),2),
IF(OR($D230="Southeastern Plains",$D230="Middle Atlantic Coastal Plain"),
ROUND(IF(E264&lt;=0,0,
IF(E264&gt;=15,1,
IF(E264&lt;=5, E264*'Reference Curves'!$S$16+'Reference Curves'!$S$17,
IF(E264&gt;=10,E264*'Reference Curves'!$U$16+'Reference Curves'!$U$17,
E264*'Reference Curves'!$T$16+'Reference Curves'!$T$17)))),2)))))</f>
        <v/>
      </c>
      <c r="G264" s="272" cm="1">
        <f t="array" ref="G264">IF(F264&lt;&gt;"",AVERAGE(F264),_xlfn.IFS(B231="Secondary",'Functional Loss'!$H$26, B231="Tertiary", 'Functional Loss'!$H$28, TRUE, 'Functional Loss'!$H$23))</f>
        <v>1</v>
      </c>
      <c r="H264" s="478">
        <f>IFERROR(ROUND(AVERAGE(G264:G265),2),"")</f>
        <v>1</v>
      </c>
      <c r="I264" s="480" t="str">
        <f>IF(H264="","",IF(H264&gt;0.69,"Functioning",IF(H264&gt;0.29,"Functioning At Risk",IF(H264&gt;-1,"Not Functioning"))))</f>
        <v>Functioning</v>
      </c>
      <c r="J264" s="483"/>
    </row>
    <row r="265" spans="1:10" s="48" customFormat="1" ht="15.95" customHeight="1" x14ac:dyDescent="0.5">
      <c r="A265" s="477"/>
      <c r="B265" s="211" t="s">
        <v>45</v>
      </c>
      <c r="C265" s="57" t="s">
        <v>374</v>
      </c>
      <c r="D265" s="57"/>
      <c r="E265" s="275"/>
      <c r="F265" s="210" t="str">
        <f>IF(E265="","",
IF($G234="1 - Upland Santee/Pee-Dee Basin",
IF(E265&lt;-1,0,
IF(E265&gt;1,1,
ROUND(IF(E265&gt;=0.05,E265*'Reference Curves'!$T$21+'Reference Curves'!$T$22,
E265*'Reference Curves'!$S$21+'Reference Curves'!$S$22),2))),
IF($G234="2 - Upland Savannah",
IF(E265&lt;-1,0,
IF(E265&gt;1,1,
ROUND(IF(E265&gt;=0.002,E265*'Reference Curves'!$T$26+'Reference Curves'!$T$27,
E265*'Reference Curves'!$S$26+'Reference Curves'!$S$27),2))),
IF($G234="3 - Lowland Perennial",
IF(E265&lt;-1,0,
IF(E265&gt;1,1,
ROUND(IF(E265&gt;=0.005,E265*'Reference Curves'!$T$31+'Reference Curves'!$T$32,
E265*'Reference Curves'!$S$31+'Reference Curves'!$S$32),2))),
IF($G234="4 - Lowland Stable Baseflow",
IF(E265&lt;-1,0,
IF(E265&gt;1,1,
ROUND(IF(E265&gt;=0.3,E265*'Reference Curves'!$T$36+'Reference Curves'!$T$37,
E265*'Reference Curves'!$S$36+'Reference Curves'!$S$37),2))))))))</f>
        <v/>
      </c>
      <c r="G265" s="120" cm="1">
        <f t="array" ref="G265">IF(F265&lt;&gt;"",AVERAGE(F265),_xlfn.IFS(B231="Secondary",'Functional Loss'!$H$26, B231="Tertiary", 'Functional Loss'!$H$28, TRUE, 'Functional Loss'!$H$23))</f>
        <v>1</v>
      </c>
      <c r="H265" s="479"/>
      <c r="I265" s="481"/>
      <c r="J265" s="484"/>
    </row>
    <row r="266" spans="1:10" s="48" customFormat="1" ht="15" customHeight="1" x14ac:dyDescent="0.45">
      <c r="I266" s="27"/>
    </row>
    <row r="267" spans="1:10" ht="30" customHeight="1" x14ac:dyDescent="0.65">
      <c r="A267" s="500" t="s">
        <v>395</v>
      </c>
      <c r="B267" s="501"/>
      <c r="C267" s="501"/>
      <c r="D267" s="501"/>
      <c r="E267" s="501"/>
      <c r="F267" s="501"/>
      <c r="G267" s="501"/>
      <c r="H267" s="501"/>
      <c r="I267" s="501"/>
      <c r="J267" s="502"/>
    </row>
    <row r="268" spans="1:10" ht="32.25" customHeight="1" x14ac:dyDescent="0.45">
      <c r="A268" s="121" t="s">
        <v>59</v>
      </c>
      <c r="B268" s="122">
        <f>'Project Summary'!$A17</f>
        <v>0</v>
      </c>
      <c r="C268" s="282" t="s">
        <v>146</v>
      </c>
      <c r="D268" s="283"/>
      <c r="E268" s="59" t="s">
        <v>236</v>
      </c>
      <c r="F268" s="121"/>
      <c r="G268" s="467"/>
      <c r="H268" s="468"/>
      <c r="I268" s="127" t="s">
        <v>95</v>
      </c>
      <c r="J268" s="123"/>
    </row>
    <row r="269" spans="1:10" ht="31.5" x14ac:dyDescent="0.45">
      <c r="A269" s="121" t="s">
        <v>201</v>
      </c>
      <c r="B269" s="122">
        <f>'Project Summary'!D17</f>
        <v>0</v>
      </c>
      <c r="C269" s="282" t="s">
        <v>60</v>
      </c>
      <c r="D269" s="284"/>
      <c r="E269" s="59" t="s">
        <v>237</v>
      </c>
      <c r="F269" s="124"/>
      <c r="G269" s="467"/>
      <c r="H269" s="468"/>
      <c r="I269" s="127" t="s">
        <v>96</v>
      </c>
      <c r="J269" s="123"/>
    </row>
    <row r="270" spans="1:10" ht="31.5" customHeight="1" x14ac:dyDescent="0.45">
      <c r="A270" s="121" t="s">
        <v>316</v>
      </c>
      <c r="B270" s="122">
        <f>'Functional Loss'!D16</f>
        <v>0</v>
      </c>
      <c r="C270" s="282" t="s">
        <v>94</v>
      </c>
      <c r="D270" s="284"/>
      <c r="E270" s="503" t="s">
        <v>346</v>
      </c>
      <c r="F270" s="504"/>
      <c r="G270" s="467"/>
      <c r="H270" s="468"/>
      <c r="I270" s="127" t="s">
        <v>97</v>
      </c>
      <c r="J270" s="123"/>
    </row>
    <row r="271" spans="1:10" ht="31.5" x14ac:dyDescent="0.45">
      <c r="A271" s="95" t="s">
        <v>392</v>
      </c>
      <c r="B271" s="122">
        <f>'Project Summary'!C17</f>
        <v>0</v>
      </c>
      <c r="C271" s="282" t="s">
        <v>73</v>
      </c>
      <c r="D271" s="284"/>
      <c r="E271" s="59" t="s">
        <v>147</v>
      </c>
      <c r="F271" s="126"/>
      <c r="G271" s="467"/>
      <c r="H271" s="468"/>
      <c r="I271" s="127" t="s">
        <v>98</v>
      </c>
      <c r="J271" s="123"/>
    </row>
    <row r="272" spans="1:10" ht="31.5" customHeight="1" x14ac:dyDescent="0.45">
      <c r="A272" s="59" t="s">
        <v>148</v>
      </c>
      <c r="B272" s="122">
        <f>'Project Summary'!B17</f>
        <v>0</v>
      </c>
      <c r="C272" s="282" t="s">
        <v>396</v>
      </c>
      <c r="D272" s="123"/>
      <c r="E272" s="472" t="s">
        <v>355</v>
      </c>
      <c r="F272" s="472"/>
      <c r="G272" s="467"/>
      <c r="H272" s="468"/>
      <c r="I272" s="121" t="s">
        <v>226</v>
      </c>
      <c r="J272" s="197"/>
    </row>
    <row r="273" spans="1:10" ht="28.5" customHeight="1" x14ac:dyDescent="0.65">
      <c r="A273" s="473" t="s">
        <v>39</v>
      </c>
      <c r="B273" s="473"/>
      <c r="C273" s="473"/>
      <c r="D273" s="473"/>
      <c r="E273" s="473"/>
      <c r="F273" s="473"/>
      <c r="G273" s="336" t="s">
        <v>348</v>
      </c>
      <c r="H273" s="336"/>
      <c r="I273" s="336"/>
      <c r="J273" s="336"/>
    </row>
    <row r="274" spans="1:10" ht="15.75" x14ac:dyDescent="0.5">
      <c r="A274" s="12" t="s">
        <v>1</v>
      </c>
      <c r="B274" s="12" t="s">
        <v>166</v>
      </c>
      <c r="C274" s="474" t="s">
        <v>165</v>
      </c>
      <c r="D274" s="475"/>
      <c r="E274" s="12" t="s">
        <v>8</v>
      </c>
      <c r="F274" s="171" t="s">
        <v>9</v>
      </c>
      <c r="G274" s="12" t="s">
        <v>10</v>
      </c>
      <c r="H274" s="12" t="s">
        <v>11</v>
      </c>
      <c r="I274" s="28" t="s">
        <v>11</v>
      </c>
      <c r="J274" s="12" t="s">
        <v>82</v>
      </c>
    </row>
    <row r="275" spans="1:10" ht="15.95" customHeight="1" x14ac:dyDescent="0.5">
      <c r="A275" s="492" t="s">
        <v>42</v>
      </c>
      <c r="B275" s="494" t="s">
        <v>65</v>
      </c>
      <c r="C275" s="166" t="s">
        <v>181</v>
      </c>
      <c r="D275" s="102"/>
      <c r="E275" s="11"/>
      <c r="F275" s="110" t="str">
        <f>IF(E275="","",IF(E275&gt;78,0,IF(E275&lt;55,1,ROUND(E275*'Reference Curves'!$B$6+'Reference Curves'!$B$7,2))))</f>
        <v/>
      </c>
      <c r="G275" s="454" cm="1">
        <f t="array" ref="G275">IF(OR(F275&lt;&gt;"",F276&lt;&gt;""),AVERAGE(F275:F276),_xlfn.IFS(B269="Secondary",'Functional Loss'!$H$26,B269="Tertiary",'Functional Loss'!$H$28,TRUE,'Functional Loss'!$H$23))</f>
        <v>1</v>
      </c>
      <c r="H275" s="496">
        <f>IFERROR(ROUND(AVERAGE(G275),2),"")</f>
        <v>1</v>
      </c>
      <c r="I275" s="498" t="str">
        <f>IF(H275="","",IF(H275&gt;0.69,"Functioning",IF(H275&gt;0.29,"Functioning At Risk",IF(H275&gt;-1,"Not Functioning"))))</f>
        <v>Functioning</v>
      </c>
      <c r="J275" s="482">
        <f>IF(AND(H275="",H277="",H280="",H296="",H302=""),"",ROUND((IF(H275="",0,H275)*0.2)+(IF(H277="",0,H277)*0.2)+(IF(H280="",0,H280)*0.2)+(IF(H296="",0,H296)*0.2)+(IF(H302="",0,H302)*0.2),2))</f>
        <v>1</v>
      </c>
    </row>
    <row r="276" spans="1:10" ht="15.95" customHeight="1" x14ac:dyDescent="0.5">
      <c r="A276" s="493"/>
      <c r="B276" s="495"/>
      <c r="C276" s="167" t="s">
        <v>143</v>
      </c>
      <c r="D276" s="103"/>
      <c r="E276" s="15"/>
      <c r="F276" s="111" t="str">
        <f>IF(E276="","",IF(E276&gt;3.33,0,IF(E276=0,1,ROUND(E276*'Reference Curves'!$B$10+'Reference Curves'!$B$11,2))))</f>
        <v/>
      </c>
      <c r="G276" s="455"/>
      <c r="H276" s="497"/>
      <c r="I276" s="498"/>
      <c r="J276" s="483"/>
    </row>
    <row r="277" spans="1:10" ht="15.95" customHeight="1" x14ac:dyDescent="0.5">
      <c r="A277" s="499" t="s">
        <v>2</v>
      </c>
      <c r="B277" s="452" t="s">
        <v>3</v>
      </c>
      <c r="C277" s="104" t="s">
        <v>182</v>
      </c>
      <c r="D277" s="104"/>
      <c r="E277" s="14"/>
      <c r="F277" s="60" t="str">
        <f>IF(E277="","",ROUND(IF(OR(E277&gt;1.71,E277&lt;0.34),0,IF(E277&lt;=1,1,E277*'Reference Curves'!$D$5+'Reference Curves'!$D$6)),2))</f>
        <v/>
      </c>
      <c r="G277" s="454" cm="1">
        <f t="array" ref="G277">IF(OR(F277&lt;&gt;"",F278&lt;&gt;""),AVERAGE(F277:F278), _xlfn.IFS(B269="Secondary",'Functional Loss'!$H$26,B269="Tertiary", 'Functional Loss'!$H$28, TRUE, 'Functional Loss'!$H$23))</f>
        <v>1</v>
      </c>
      <c r="H277" s="456">
        <f>IFERROR(ROUND(AVERAGE(G277:G279),2),"")</f>
        <v>1</v>
      </c>
      <c r="I277" s="459" t="str">
        <f>IF(H277="","",IF(H277&gt;0.69,"Functioning",IF(H277&gt;0.29,"Functioning At Risk",IF(H277&gt;-1,"Not Functioning"))))</f>
        <v>Functioning</v>
      </c>
      <c r="J277" s="483"/>
    </row>
    <row r="278" spans="1:10" ht="15.95" customHeight="1" x14ac:dyDescent="0.5">
      <c r="A278" s="452"/>
      <c r="B278" s="453"/>
      <c r="C278" s="105" t="s">
        <v>183</v>
      </c>
      <c r="D278" s="105"/>
      <c r="E278" s="15"/>
      <c r="F278" s="112" t="str">
        <f>IF(E278="","",
IF(LEFT($D270,1)="C",
ROUND(IF(E278&gt;=7.3,1,
IF(E278&lt;=1,0,
IF(E278&lt;=2.2, E278*'Reference Curves'!$D$10+'Reference Curves'!$D$11, E278*'Reference Curves'!$E$10+'Reference Curves'!$E$11))),2),
IF(LEFT($D270,1)="B",
ROUND(IF(E278&gt;=2,1,
IF(E278&lt;=1,0,
IF(E278&lt;=1.4,E278*'Reference Curves'!$D$20+'Reference Curves'!$D$21,E278*'Reference Curves'!$E$20+'Reference Curves'!$E$21))),2), IF(OR(LEFT($D270,1)="E"), ROUND(IF(E278&gt;=10,1,
IF(E278&lt;=1,0,
IF(E278&lt;=2.2,  E278*'Reference Curves'!$D$15+'Reference Curves'!$D$16,
E278*'Reference Curves'!$E$15+'Reference Curves'!$E$16))),2)))))</f>
        <v/>
      </c>
      <c r="G278" s="455"/>
      <c r="H278" s="457"/>
      <c r="I278" s="460"/>
      <c r="J278" s="483"/>
    </row>
    <row r="279" spans="1:10" ht="15.95" customHeight="1" x14ac:dyDescent="0.5">
      <c r="A279" s="453"/>
      <c r="B279" s="248" t="s">
        <v>184</v>
      </c>
      <c r="C279" s="104" t="s">
        <v>185</v>
      </c>
      <c r="D279" s="104"/>
      <c r="E279" s="14"/>
      <c r="F279" s="60" t="str">
        <f>IF(E279="","",(IF(E279&gt;=1.8,0,  IF(E279=1,1,ROUND(IF(E279&gt;1,E279*'Reference Curves'!$E$25+'Reference Curves'!$E$26, IF(E277&gt;1.2, IF(E279&lt;=0.2,0,E279*'Reference Curves'!$D$25+'Reference Curves'!$D$26),1)),2)))))</f>
        <v/>
      </c>
      <c r="G279" s="120" cm="1">
        <f t="array" ref="G279">IF(OR(D270="D",D270="DA"),"",IF(F279&lt;&gt;"",IFERROR(AVERAGE(F279),""),_xlfn.IFS(B269="Secondary",'Functional Loss'!$H$26, B269="Tertiary", 'Functional Loss'!$H$28, TRUE, 'Functional Loss'!$H$23)))</f>
        <v>1</v>
      </c>
      <c r="H279" s="458"/>
      <c r="I279" s="461"/>
      <c r="J279" s="483"/>
    </row>
    <row r="280" spans="1:10" ht="15.95" customHeight="1" x14ac:dyDescent="0.5">
      <c r="A280" s="462" t="s">
        <v>14</v>
      </c>
      <c r="B280" s="462" t="s">
        <v>15</v>
      </c>
      <c r="C280" s="162" t="s">
        <v>13</v>
      </c>
      <c r="D280" s="163"/>
      <c r="E280" s="11"/>
      <c r="F280" s="113" t="str">
        <f>IF(E280="","",ROUND(IF(E280&gt;=731,1,IF(E280&lt;=0,0,IF(E280&lt;355,E280*'Reference Curves'!$G$6+'Reference Curves'!$G$7,E280*'Reference Curves'!$H$6+'Reference Curves'!$H$7))),2))</f>
        <v/>
      </c>
      <c r="G280" s="454" cm="1">
        <f t="array" ref="G280">IF(OR(F280&lt;&gt;"",F281&lt;&gt;""),AVERAGE(F280:F281), _xlfn.IFS(B269="Secondary",'Functional Loss'!$H$26,B269="Tertiary", 'Functional Loss'!$H$28, TRUE, 'Functional Loss'!$H$23))</f>
        <v>1</v>
      </c>
      <c r="H280" s="464">
        <f>IFERROR(ROUND(AVERAGE(G280:G295),2),"")</f>
        <v>1</v>
      </c>
      <c r="I280" s="459" t="str">
        <f>IF(H280="","",IF(H280&gt;0.69,"Functioning",IF(H280&gt;0.29,"Functioning At Risk",IF(H280&gt;-1,"Not Functioning"))))</f>
        <v>Functioning</v>
      </c>
      <c r="J280" s="483"/>
    </row>
    <row r="281" spans="1:10" ht="15.95" customHeight="1" x14ac:dyDescent="0.5">
      <c r="A281" s="469"/>
      <c r="B281" s="463"/>
      <c r="C281" s="160" t="s">
        <v>186</v>
      </c>
      <c r="D281" s="161"/>
      <c r="E281" s="15"/>
      <c r="F281" s="25" t="str">
        <f>IF(E281="","",ROUND(IF(E281&gt;=28,1,IF(E281&lt;16,E281*'Reference Curves'!$G$11+'Reference Curves'!$G$12,E281*'Reference Curves'!$H$11+'Reference Curves'!$H$12)),2))</f>
        <v/>
      </c>
      <c r="G281" s="455"/>
      <c r="H281" s="464"/>
      <c r="I281" s="460"/>
      <c r="J281" s="483"/>
    </row>
    <row r="282" spans="1:10" ht="15.95" customHeight="1" x14ac:dyDescent="0.5">
      <c r="A282" s="469"/>
      <c r="B282" s="469" t="s">
        <v>92</v>
      </c>
      <c r="C282" s="106" t="s">
        <v>187</v>
      </c>
      <c r="D282" s="106"/>
      <c r="E282" s="114"/>
      <c r="F282" s="24" t="str">
        <f>IF(E282="","",
ROUND(IF(E282&gt;=0.71,0,
IF(E282&lt;=0.1,1,
IF(E282&lt;=0.2,E282*'Reference Curves'!$I$16+'Reference Curves'!$I$17,
IF(E282&gt;=0.4,E282*'Reference Curves'!$G$16+'Reference Curves'!$G$17,
E282*'Reference Curves'!$H$16+'Reference Curves'!$H$17)))),2))</f>
        <v/>
      </c>
      <c r="G282" s="471" cm="1">
        <f t="array" ref="G282">IF(E285&gt;50,0,IF(OR(F282&lt;&gt;"",F283&lt;&gt;"",F284&lt;&gt;"",F285&lt;&gt;""),AVERAGE(F282:F285),_xlfn.IFS(B269="Secondary",'Functional Loss'!$H$26,B269="Tertiary",'Functional Loss'!$H$28,TRUE,'Functional Loss'!$H$23)))</f>
        <v>1</v>
      </c>
      <c r="H282" s="464"/>
      <c r="I282" s="460"/>
      <c r="J282" s="483"/>
    </row>
    <row r="283" spans="1:10" ht="15.95" customHeight="1" x14ac:dyDescent="0.5">
      <c r="A283" s="469"/>
      <c r="B283" s="469"/>
      <c r="C283" s="106" t="s">
        <v>36</v>
      </c>
      <c r="D283" s="106"/>
      <c r="E283" s="115"/>
      <c r="F283" s="8" t="str">
        <f>IF(E283="","",IF(OR(E283="Ex/VL",E283="VH/VL",E283="H/M",E283="H/L",E283="H/VL"),0.2, IF(OR(LEFT(E283,2)="Ex",E283="VH/Ex",E283="VH/VH", E283="VH/H"),0,IF(OR(E283="VH/M",E283="VH/L",E283="H/Ex", E283="H/VH", E283="H/H"),0.1, IF(OR(E283="M/Ex",E283="M/VH"),0.3, IF(E283="M/H",0.4, IF(E283="M/M",0.5, IF(OR(E283="M/L",E283="M/VL"),0.6, IF(E283="L/Ex",0.7, IF(OR(LEFT(E283,1)="L",LEFT(E283,2)="VL"),1))))))))))</f>
        <v/>
      </c>
      <c r="G283" s="471"/>
      <c r="H283" s="464"/>
      <c r="I283" s="460"/>
      <c r="J283" s="483"/>
    </row>
    <row r="284" spans="1:10" ht="15.95" customHeight="1" x14ac:dyDescent="0.5">
      <c r="A284" s="469"/>
      <c r="B284" s="469"/>
      <c r="C284" s="164" t="s">
        <v>48</v>
      </c>
      <c r="D284" s="106"/>
      <c r="E284" s="114"/>
      <c r="F284" s="8" t="str">
        <f>IF(E284="","",ROUND(IF(E284&gt;=50,0,IF(E284&lt;=5,1,IF(E284&gt;11,E284*'Reference Curves'!$G$21+'Reference Curves'!$G$22,E284*'Reference Curves'!$H$21+'Reference Curves'!$H$22))),2))</f>
        <v/>
      </c>
      <c r="G284" s="471"/>
      <c r="H284" s="464"/>
      <c r="I284" s="460"/>
      <c r="J284" s="483"/>
    </row>
    <row r="285" spans="1:10" ht="15.95" customHeight="1" x14ac:dyDescent="0.5">
      <c r="A285" s="469"/>
      <c r="B285" s="469"/>
      <c r="C285" s="107" t="s">
        <v>124</v>
      </c>
      <c r="D285" s="107"/>
      <c r="E285" s="16"/>
      <c r="F285" s="25" t="str">
        <f>IF(E285="","",ROUND(IF(E285&gt;=30,0,E285*'Reference Curves'!$G$25+'Reference Curves'!$G$26),2))</f>
        <v/>
      </c>
      <c r="G285" s="471"/>
      <c r="H285" s="464"/>
      <c r="I285" s="460"/>
      <c r="J285" s="483"/>
    </row>
    <row r="286" spans="1:10" ht="15.95" customHeight="1" x14ac:dyDescent="0.5">
      <c r="A286" s="469"/>
      <c r="B286" s="462" t="s">
        <v>37</v>
      </c>
      <c r="C286" s="108" t="s">
        <v>144</v>
      </c>
      <c r="D286" s="163"/>
      <c r="E286" s="58"/>
      <c r="F286" s="116" t="str">
        <f>IF(E286="","",
IF(AND($G269="Single Family Residential",$G268="&lt; 5 %"),
ROUND(IF(E286&lt;=0,0,IF(E286&gt;=300,1,IF(E286&gt;=50, E286*'Reference Curves'!$H$31 +'Reference Curves'!$H$32,
E286*'Reference Curves'!$G$31 +'Reference Curves'!$G$32))),2),
IF(AND($G269="Single Family Residential",$G268="5 - 20 %"),
ROUND(IF(E286&lt;=0,0,IF(E286&gt;=300,1,IF(E286&gt;=100,E286*'Reference Curves'!$J$31+'Reference Curves'!$J$32,
E286*'Reference Curves'!$I$31+'Reference Curves'!$I$32))),2),
IF(AND($G269="Single Family Residential",$G268="21 - 40 %"),
ROUND(IF(E286&lt;=0,0,IF(E286&gt;=300,1,IF(E286&gt;=150,E286*'Reference Curves'!$L$31+'Reference Curves'!$L$32,
E286*'Reference Curves'!$K$31+'Reference Curves'!$K$32))),2),
IF(AND($G269="Single Family Residential",$G268="&gt; 40 %"),
ROUND(IF(E286&lt;=0,0,IF(E286&gt;=300,1,IF(E286&gt;=200,E286*'Reference Curves'!$N$31+'Reference Curves'!$N$32,
E286*'Reference Curves'!$M$31+'Reference Curves'!$M$32))),2),                           IF(AND($G269="Multi-Family Residential",$G268="&lt; 5 %"),
ROUND(IF(E286&lt;=0,0,IF(E286&gt;=293,1,IF(E286&gt;=60,E286*'Reference Curves'!$H$37+'Reference Curves'!$H$38,
E286*'Reference Curves'!$G$37+'Reference Curves'!$G$38))),2),
IF(AND($G269="Multi-Family Residential",$G268="5 - 20 %"),
ROUND(IF(E286&lt;=0,0,IF(E286&gt;=293,1,IF(E286&gt;=120, E286*'Reference Curves'!$J$37+'Reference Curves'!$J$38,
E286*'Reference Curves'!$I$37+'Reference Curves'!$I$38))),2),
IF(AND($G269="Multi-Family Residential",$G268="21 - 40 %"),
ROUND(IF(E286&lt;=0,0,IF(E286&gt;=300,1, IF(E286&gt;=180, E286*'Reference Curves'!$L$37+'Reference Curves'!$L$38,
E286*'Reference Curves'!$K$37+'Reference Curves'!$K$38))),2),
IF(AND($G269="Multi-Family Residential",$G268="&gt; 40 %"),
ROUND(IF(E286&lt;=0,0,IF(E286&gt;=345,1,E286*'Reference Curves'!$M$37+'Reference Curves'!$M$38)),2),
IF(AND($G269="Commercial / Golf Course / Agriculture / Silviculture", $G268="&lt; 5 %"),
ROUND(IF(E286&lt;=0,0, IF(E286&gt;=300,1, IF(E286&gt;=150,E286*'Reference Curves'!$H$43+'Reference Curves'!$H$44,
E286*'Reference Curves'!$G$43+'Reference Curves'!$G$44))),2),
IF(AND($G269="Commercial / Golf Course / Agriculture / Silviculture", $G268="5 - 20 %"),
ROUND(IF(E286&lt;=0,0, IF(E286&gt;=300,1, IF(E286&gt;=150,E286*'Reference Curves'!$H$43+'Reference Curves'!$H$44,
E286*'Reference Curves'!$G$43+'Reference Curves'!$G$44))),2),
IF(AND($G269="Commercial / Golf Course / Agriculture / Silviculture",$G268="21 - 40 %"),
ROUND(IF(E286&lt;=0,0,IF(E286&gt;=322.5,1, E286*'Reference Curves'!$I$43+'Reference Curves'!$I$44)),2),
IF(AND($G269="Commercial / Golf Course / Agriculture / Silviculture",$G268="&gt; 40 %"),
ROUND(IF(E286&lt;=0,0,IF(E286&gt;=434.7,1,E286*'Reference Curves'!$J$43+'Reference Curves'!$J$44)),2),
                   IF(AND($G269="Industrial / Landfill", $G268="&lt; 5 %"),
ROUND(IF(E286&lt;=0,0,IF(E286&gt;=300,1,IF(E286&gt;=150, E286*'Reference Curves'!$H$49+'Reference Curves'!$H$50,
E286*'Reference Curves'!$G$49+'Reference Curves'!$G$50))),2),
IF(AND($G269="Industrial / Landfill", $G268="5 - 20 %"),
ROUND(IF(E286&lt;=0,0,IF(E286&gt;=357.1,1, E286*'Reference Curves'!$I$49+'Reference Curves'!$I$50)),2),
IF(AND($G269="Industrial / Landfill",$G268="21 - 40 %"),
ROUND(IF(E286&lt;=0,0,IF(E286&gt;=499.9,1, E286*'Reference Curves'!$J$49+'Reference Curves'!$J$50)),2)))))))))))))))))</f>
        <v/>
      </c>
      <c r="G286" s="454" cm="1">
        <f t="array" ref="G286">IF(OR(F286&lt;&gt;"",F287&lt;&gt;"",F288&lt;&gt;"",F289&lt;&gt;"", F290&lt;&gt;"",F291&lt;&gt;""),AVERAGE(F286:F291), _xlfn.IFS(B269="Secondary",'Functional Loss'!$H$26, B269="Tertiary", 'Functional Loss'!$H$28, TRUE, 'Functional Loss'!$H$23))</f>
        <v>1</v>
      </c>
      <c r="H286" s="464"/>
      <c r="I286" s="460"/>
      <c r="J286" s="483"/>
    </row>
    <row r="287" spans="1:10" ht="15.95" customHeight="1" x14ac:dyDescent="0.5">
      <c r="A287" s="469"/>
      <c r="B287" s="469"/>
      <c r="C287" s="106" t="s">
        <v>159</v>
      </c>
      <c r="D287" s="165"/>
      <c r="E287" s="32"/>
      <c r="F287" s="117" t="str">
        <f>IF(E287="","",ROUND(IF(E287&gt;=9.3,1,E287*'Reference Curves'!$G$53+'Reference Curves'!$G$54),2))</f>
        <v/>
      </c>
      <c r="G287" s="470"/>
      <c r="H287" s="464"/>
      <c r="I287" s="460"/>
      <c r="J287" s="483"/>
    </row>
    <row r="288" spans="1:10" ht="15.95" customHeight="1" x14ac:dyDescent="0.5">
      <c r="A288" s="469"/>
      <c r="B288" s="469"/>
      <c r="C288" s="106" t="s">
        <v>188</v>
      </c>
      <c r="D288" s="165"/>
      <c r="E288" s="32"/>
      <c r="F288" s="117" t="str">
        <f>IF(E288="","",ROUND(IF(AND(E288&gt;=135,E288&lt;=262),1,IF(E288&gt;=366,0.5,IF(E288&lt;135,E288*'Reference Curves'!$G$57+'Reference Curves'!$G$58,E288*'Reference Curves'!$H$57+'Reference Curves'!$H$58))),2))</f>
        <v/>
      </c>
      <c r="G288" s="470"/>
      <c r="H288" s="464"/>
      <c r="I288" s="460"/>
      <c r="J288" s="483"/>
    </row>
    <row r="289" spans="1:10" ht="15.95" customHeight="1" x14ac:dyDescent="0.5">
      <c r="A289" s="469"/>
      <c r="B289" s="469"/>
      <c r="C289" s="106" t="s">
        <v>189</v>
      </c>
      <c r="D289" s="165"/>
      <c r="E289" s="32"/>
      <c r="F289" s="117" t="str">
        <f>IF(E289="","",  IF($G$4="&lt; 20 %",ROUND(IF(E289&gt;=566,1,E289*'Reference Curves'!$G$61+'Reference Curves'!$G$62),2)))</f>
        <v/>
      </c>
      <c r="G289" s="470"/>
      <c r="H289" s="464"/>
      <c r="I289" s="460"/>
      <c r="J289" s="483"/>
    </row>
    <row r="290" spans="1:10" ht="15.95" customHeight="1" x14ac:dyDescent="0.5">
      <c r="A290" s="469"/>
      <c r="B290" s="469"/>
      <c r="C290" s="106" t="s">
        <v>145</v>
      </c>
      <c r="D290" s="165"/>
      <c r="E290" s="32"/>
      <c r="F290" s="117" t="str">
        <f>IF(E290="","", ROUND(IF(E290&gt;=75,1,E290*'Reference Curves'!$G$65+'Reference Curves'!$G$66),2))</f>
        <v/>
      </c>
      <c r="G290" s="470"/>
      <c r="H290" s="464"/>
      <c r="I290" s="460"/>
      <c r="J290" s="483"/>
    </row>
    <row r="291" spans="1:10" ht="15.95" customHeight="1" x14ac:dyDescent="0.5">
      <c r="A291" s="469"/>
      <c r="B291" s="469"/>
      <c r="C291" s="106" t="s">
        <v>190</v>
      </c>
      <c r="D291" s="165"/>
      <c r="E291" s="32"/>
      <c r="F291" s="117" t="str">
        <f>IF(E291="","",IF(E291&gt;=100,0,ROUND(IF(E291&lt;=0,1,E291*'Reference Curves'!$G$69+'Reference Curves'!$G$70),2)))</f>
        <v/>
      </c>
      <c r="G291" s="470"/>
      <c r="H291" s="464"/>
      <c r="I291" s="460"/>
      <c r="J291" s="483"/>
    </row>
    <row r="292" spans="1:10" s="48" customFormat="1" ht="15.95" customHeight="1" x14ac:dyDescent="0.5">
      <c r="A292" s="469"/>
      <c r="B292" s="463"/>
      <c r="C292" s="106" t="s">
        <v>191</v>
      </c>
      <c r="D292" s="165"/>
      <c r="E292" s="32"/>
      <c r="F292" s="117"/>
      <c r="G292" s="455"/>
      <c r="H292" s="464"/>
      <c r="I292" s="460"/>
      <c r="J292" s="483"/>
    </row>
    <row r="293" spans="1:10" ht="15.95" customHeight="1" x14ac:dyDescent="0.5">
      <c r="A293" s="469"/>
      <c r="B293" s="462" t="s">
        <v>38</v>
      </c>
      <c r="C293" s="108" t="s">
        <v>192</v>
      </c>
      <c r="D293" s="163"/>
      <c r="E293" s="11"/>
      <c r="F293" s="24" t="str">
        <f>IF(E293="","",
IF($D270="Bc", ROUND(IF(E293&lt;=5,1,
IF(E293&gt;=8,0,
IF(E293&lt;6,E293*'Reference Curves'!$G$79+'Reference Curves'!$G$80,E293*'Reference Curves'!$H$79+'Reference Curves'!$H$80))),2),       IF(OR(LEFT($D270,1)="B",LEFT($D270,1)="A"),
ROUND(IF(E293&lt;=4,1,
IF(E293&gt;=6.5,0,
IF(E293&lt;5,E293*'Reference Curves'!$G$74+'Reference Curves'!$G$75, E293*'Reference Curves'!$H$74+'Reference Curves'!$H$75))),2),   IF(OR(LEFT($D270,1)="E",LEFT($D270,1)="C"),
ROUND(IF(OR(E293&gt;=9,E293&lt;=1),0,
IF(AND(E293&gt;=3.5,E293&lt;=6),1,
IF(E293&lt;3.5,E293*'Reference Curves'!$G$84+'Reference Curves'!$G$85,
E293*'Reference Curves'!$H$84+'Reference Curves'!$H$85))),2)))))</f>
        <v/>
      </c>
      <c r="G293" s="454" cm="1">
        <f t="array" ref="G293">IF(OR(D270="D",D270="DA"),"",IF(OR(F293&lt;&gt;"",F294&lt;&gt;"",F295&lt;&gt;""),AVERAGE(F293:F295),_xlfn.IFS(B269="Secondary",'Functional Loss'!$H$26,B269="Tertiary",'Functional Loss'!$H$28,TRUE,'Functional Loss'!$H$23)))</f>
        <v>1</v>
      </c>
      <c r="H293" s="464"/>
      <c r="I293" s="460"/>
      <c r="J293" s="483"/>
    </row>
    <row r="294" spans="1:10" ht="15.95" customHeight="1" x14ac:dyDescent="0.5">
      <c r="A294" s="469"/>
      <c r="B294" s="469"/>
      <c r="C294" s="106" t="s">
        <v>193</v>
      </c>
      <c r="D294" s="165"/>
      <c r="E294" s="14"/>
      <c r="F294" s="8" t="str">
        <f>IF(E294="","",IF(LEFT($D270,1)="A",
IF(E294&gt;=1.7,1,
IF(E294&lt;=1,0,
ROUND(IF(E294&lt;=1.1,'Reference Curves'!$G$89+'Reference Curves'!$G$90,
(IF(E294&gt;=1.4,E294*'Reference Curves'!$I$89+'Reference Curves'!$I$90,
E294*'Reference Curves'!$H$89+'Reference Curves'!$H$90))),2))),            IF(LEFT($D270,1)="B",
IF(E294&gt;=2.9,1,
IF(E294&lt;=1,0,
ROUND(IF(E294&lt;=2,E294*'Reference Curves'!$G$94+'Reference Curves'!$G$95,
(IF(E294&gt;=2.3,E294*'Reference Curves'!$I$94+'Reference Curves'!$I$95,
E294*'Reference Curves'!$H$94+'Reference Curves'!$H$95))),2))),     IF(LEFT($D270,1)="C",
IF(E294&gt;=2.3,1,
IF(E294&lt;=1,0,
ROUND(IF(E294&lt;=1.2,E294*'Reference Curves'!$G$99+'Reference Curves'!$G$100,
IF(E294&gt;=1.9, E294*'Reference Curves'!$I$99+'Reference Curves'!$I$100,
E294*'Reference Curves'!$H$99+'Reference Curves'!$H$100)),2))),          IF(LEFT($D270,1)="E",
IF(E294&gt;=2.1,1,
IF(E294&lt;=1,0,
ROUND(IF(E294&gt;=1.7, E294*'Reference Curves'!$I$104+'Reference Curves'!$I$105, IF(E294&lt;=1.4,
E294*'Reference Curves'!$G$104+'Reference Curves'!$G$105,E294*'Reference Curves'!$H$104+'Reference Curves'!$H$105)),2))))))))</f>
        <v/>
      </c>
      <c r="G294" s="470"/>
      <c r="H294" s="464"/>
      <c r="I294" s="460"/>
      <c r="J294" s="483"/>
    </row>
    <row r="295" spans="1:10" ht="15.95" customHeight="1" x14ac:dyDescent="0.5">
      <c r="A295" s="469"/>
      <c r="B295" s="463"/>
      <c r="C295" s="109" t="s">
        <v>80</v>
      </c>
      <c r="D295" s="161"/>
      <c r="E295" s="14"/>
      <c r="F295" s="118" t="str">
        <f>IF(E295="","",IF(OR(LEFT($D270,1)="F",LEFT($D270,1)="G",LEFT($D270,1)="D"),"FALSE",
IF(LEFT($D270,1)="A",
ROUND(IF(OR(E295&gt;=100,E295&lt;=0),0,IF(E295&lt;=54,E295*'Reference Curves'!$G$109+'Reference Curves'!$G$110,
IF(E295&gt;=62,E295*'Reference Curves'!$H$109+'Reference Curves'!$H$110,1))),2),IF(LEFT($D270,1)="B",
ROUND(IF(OR(E295&gt;=100,E295&lt;=0),0,IF(E295&lt;=53,E295*'Reference Curves'!$G$114+'Reference Curves'!$G$115,
IF(E295&gt;=61,E295*'Reference Curves'!$H$114+'Reference Curves'!$H$115,1))),2),
IF(LEFT($D270,1)="C",
ROUND(IF(OR(E295&gt;=100,E295&lt;=0),0,
IF(E295&lt;45,E295*'Reference Curves'!$G$119+'Reference Curves'!$G$120,
IF(E295&gt;=64,E295*'Reference Curves'!$H$119+'Reference Curves'!$H$120,1))),2),
IF(LEFT($D270,1)="E",
ROUND(IF(OR(E295&gt;=100,E295&lt;=0),0,
IF(E295&lt;43,E295*'Reference Curves'!$G$124+'Reference Curves'!$G$125,
IF(E295&gt;=63,E295*'Reference Curves'!$H$124+'Reference Curves'!$H$125,1))),2),))))))</f>
        <v/>
      </c>
      <c r="G295" s="470"/>
      <c r="H295" s="464"/>
      <c r="I295" s="461"/>
      <c r="J295" s="483"/>
    </row>
    <row r="296" spans="1:10" ht="15.95" customHeight="1" x14ac:dyDescent="0.5">
      <c r="A296" s="485" t="s">
        <v>40</v>
      </c>
      <c r="B296" s="249" t="s">
        <v>103</v>
      </c>
      <c r="C296" s="267" t="s">
        <v>235</v>
      </c>
      <c r="D296" s="98"/>
      <c r="E296" s="26"/>
      <c r="F296" s="119" t="str">
        <f>IF(E296="","",IF($G271="Coldwater",IF(E296&gt;=77,0,IF(E296&lt;=58.04,1,ROUND(E296*'Reference Curves'!$P$6+'Reference Curves'!$P$7,2)))))</f>
        <v/>
      </c>
      <c r="G296" s="120" cm="1">
        <f t="array" ref="G296">IF(G271="Warmwater","", IF(F296&lt;&gt;"",AVERAGE(F296),_xlfn.IFS(B269="Secondary",'Functional Loss'!$H$26,B269="Tertiary",'Functional Loss'!$H$28,TRUE,'Functional Loss'!$H$23)))</f>
        <v>1</v>
      </c>
      <c r="H296" s="465">
        <f>IFERROR(ROUND(AVERAGE(G296:G301),2),"")</f>
        <v>1</v>
      </c>
      <c r="I296" s="480" t="str">
        <f>IF(H296="","",IF(H296&gt;0.69,"Functioning",IF(H296&gt;0.29,"Functioning At Risk",IF(H296&gt;-1,"Not Functioning"))))</f>
        <v>Functioning</v>
      </c>
      <c r="J296" s="483"/>
    </row>
    <row r="297" spans="1:10" ht="15.95" customHeight="1" x14ac:dyDescent="0.5">
      <c r="A297" s="486"/>
      <c r="B297" s="81" t="s">
        <v>127</v>
      </c>
      <c r="C297" s="268" t="s">
        <v>370</v>
      </c>
      <c r="D297" s="99"/>
      <c r="E297" s="26"/>
      <c r="F297" s="119" t="str">
        <f>IF(E297="","",
ROUND(IF(E297&gt;='Reference Curves'!$P$16,0,
IF(E297&lt;=35,1,
IF(E297&gt;=121,E297*'Reference Curves'!$P$11+'Reference Curves'!$P$12,
E297*'Reference Curves'!$Q$11+'Reference Curves'!$Q$12))),2))</f>
        <v/>
      </c>
      <c r="G297" s="119" cm="1">
        <f t="array" ref="G297">IF(F297&lt;&gt;"",AVERAGE(F297),_xlfn.IFS(B269="Secondary",'Functional Loss'!$H$26,B269="Tertiary", 'Functional Loss'!$H$28, TRUE, 'Functional Loss'!$H$23))</f>
        <v>1</v>
      </c>
      <c r="H297" s="488"/>
      <c r="I297" s="489"/>
      <c r="J297" s="483"/>
    </row>
    <row r="298" spans="1:10" s="48" customFormat="1" ht="15.95" customHeight="1" x14ac:dyDescent="0.5">
      <c r="A298" s="486"/>
      <c r="B298" s="100" t="s">
        <v>196</v>
      </c>
      <c r="C298" s="100" t="s">
        <v>197</v>
      </c>
      <c r="D298" s="101"/>
      <c r="E298" s="14"/>
      <c r="F298" s="119" t="str">
        <f>IF(E298="","",
IF(E298&gt;=2.3,0,
IF(E298&lt;=0.4,1,
ROUND(IF(E298&lt;0.8,E298*'Reference Curves'!$Q$21+'Reference Curves'!$Q$22,E298*'Reference Curves'!$P$21+'Reference Curves'!$P$22),2))))</f>
        <v/>
      </c>
      <c r="G298" s="119" cm="1">
        <f t="array" ref="G298">IF(F298&lt;&gt;"",AVERAGE(F298),_xlfn.IFS(B269="Secondary",'Functional Loss'!$H$26, B269="Tertiary", 'Functional Loss'!$H$28, TRUE, 'Functional Loss'!$H$23))</f>
        <v>1</v>
      </c>
      <c r="H298" s="488"/>
      <c r="I298" s="489"/>
      <c r="J298" s="483"/>
    </row>
    <row r="299" spans="1:10" ht="15.95" customHeight="1" x14ac:dyDescent="0.5">
      <c r="A299" s="486"/>
      <c r="B299" s="100" t="s">
        <v>198</v>
      </c>
      <c r="C299" s="263" t="s">
        <v>199</v>
      </c>
      <c r="D299" s="269"/>
      <c r="E299" s="11"/>
      <c r="F299" s="119" t="str">
        <f>IF(E299="","",
IF(E299&gt;=0.2,0,
IF(E299&lt;=0.04,1,
ROUND(IF(E299&lt;0.08,E299*'Reference Curves'!$Q$26+'Reference Curves'!$Q$27,
E299*'Reference Curves'!$P$26+'Reference Curves'!$P$27),2))))</f>
        <v/>
      </c>
      <c r="G299" s="119" cm="1">
        <f t="array" ref="G299">IF(F299&lt;&gt;"",AVERAGE(F299),_xlfn.IFS(B269="Secondary",'Functional Loss'!$H$26, B269="Tertiary", 'Functional Loss'!$H$28, TRUE, 'Functional Loss'!$H$23))</f>
        <v>1</v>
      </c>
      <c r="H299" s="488"/>
      <c r="I299" s="489"/>
      <c r="J299" s="483"/>
    </row>
    <row r="300" spans="1:10" ht="15.95" customHeight="1" x14ac:dyDescent="0.5">
      <c r="A300" s="486"/>
      <c r="B300" s="490" t="s">
        <v>371</v>
      </c>
      <c r="C300" s="263" t="s">
        <v>372</v>
      </c>
      <c r="D300" s="270"/>
      <c r="E300" s="271"/>
      <c r="F300" s="119" t="str">
        <f>IF(E300="","",
IF(E300&gt;=100,0,
IF(E300&lt;=10,1,
ROUND(IF(E300&lt;50,E300*'Reference Curves'!$Q$32+'Reference Curves'!$Q$33,
E300*'Reference Curves'!$P$32+'Reference Curves'!$P$33),2)
)))</f>
        <v/>
      </c>
      <c r="G300" s="465" cm="1">
        <f t="array" ref="G300">IF(OR(F300&lt;&gt;"",F301&lt;&gt;""),AVERAGE(F300:F301), _xlfn.IFS(B269="Secondary",'Functional Loss'!$H$26,B269="Tertiary", 'Functional Loss'!$H$28, TRUE, 'Functional Loss'!$H$23))</f>
        <v>1</v>
      </c>
      <c r="H300" s="488"/>
      <c r="I300" s="489"/>
      <c r="J300" s="483"/>
    </row>
    <row r="301" spans="1:10" ht="15.95" customHeight="1" x14ac:dyDescent="0.5">
      <c r="A301" s="487"/>
      <c r="B301" s="491"/>
      <c r="C301" s="266" t="s">
        <v>373</v>
      </c>
      <c r="D301" s="264"/>
      <c r="E301" s="16"/>
      <c r="F301" s="265" t="str">
        <f>IF(E301="","",
IF(E301&gt;=100,0,
IF(E301&lt;=10,1,
ROUND(IF(E301&lt;50,E301*'Reference Curves'!$Q$32+'Reference Curves'!$Q$33,
E301*'Reference Curves'!$P$32+'Reference Curves'!$P$33),2)
)))</f>
        <v/>
      </c>
      <c r="G301" s="466"/>
      <c r="H301" s="466"/>
      <c r="I301" s="481"/>
      <c r="J301" s="483"/>
    </row>
    <row r="302" spans="1:10" ht="15.95" customHeight="1" x14ac:dyDescent="0.5">
      <c r="A302" s="476" t="s">
        <v>41</v>
      </c>
      <c r="B302" s="211" t="s">
        <v>81</v>
      </c>
      <c r="C302" s="56" t="s">
        <v>200</v>
      </c>
      <c r="D302" s="57"/>
      <c r="E302" s="273"/>
      <c r="F302" s="274" t="str">
        <f>IF(E302="","",
IF($D268="Blue Ridge Mountains",
ROUND(IF(E302&lt;=0,0,
IF(E302&gt;=36,1,
IF(E302&lt;=19,E302*'Reference Curves'!$S$6+'Reference Curves'!$S$7,
IF(E302&gt;=28, E302*'Reference Curves'!$U$6+'Reference Curves'!$U$7,
E302*'Reference Curves'!$T$6+'Reference Curves'!$T$7 )))),2),
IF($D268="Piedmont",
ROUND(IF(E302&lt;=0,0,
IF(E302&gt;=28,1,
IF(E302&lt;=14,E302*'Reference Curves'!$S$11+'Reference Curves'!$S$12,
IF(E302&gt;=21, E302*'Reference Curves'!$U$11+'Reference Curves'!$U$12,
E302*'Reference Curves'!$T$11+'Reference Curves'!$T$12)))),2),
IF(OR($D268="Southeastern Plains",$D268="Middle Atlantic Coastal Plain"),
ROUND(IF(E302&lt;=0,0,
IF(E302&gt;=15,1,
IF(E302&lt;=5, E302*'Reference Curves'!$S$16+'Reference Curves'!$S$17,
IF(E302&gt;=10,E302*'Reference Curves'!$U$16+'Reference Curves'!$U$17,
E302*'Reference Curves'!$T$16+'Reference Curves'!$T$17)))),2)))))</f>
        <v/>
      </c>
      <c r="G302" s="272" cm="1">
        <f t="array" ref="G302">IF(F302&lt;&gt;"",AVERAGE(F302),_xlfn.IFS(B269="Secondary",'Functional Loss'!$H$26, B269="Tertiary", 'Functional Loss'!$H$28, TRUE, 'Functional Loss'!$H$23))</f>
        <v>1</v>
      </c>
      <c r="H302" s="478">
        <f>IFERROR(ROUND(AVERAGE(G302:G303),2),"")</f>
        <v>1</v>
      </c>
      <c r="I302" s="480" t="str">
        <f>IF(H302="","",IF(H302&gt;0.69,"Functioning",IF(H302&gt;0.29,"Functioning At Risk",IF(H302&gt;-1,"Not Functioning"))))</f>
        <v>Functioning</v>
      </c>
      <c r="J302" s="483"/>
    </row>
    <row r="303" spans="1:10" s="48" customFormat="1" ht="15.95" customHeight="1" x14ac:dyDescent="0.5">
      <c r="A303" s="477"/>
      <c r="B303" s="211" t="s">
        <v>45</v>
      </c>
      <c r="C303" s="57" t="s">
        <v>374</v>
      </c>
      <c r="D303" s="57"/>
      <c r="E303" s="275"/>
      <c r="F303" s="210" t="str">
        <f>IF(E303="","",
IF($G272="1 - Upland Santee/Pee-Dee Basin",
IF(E303&lt;-1,0,
IF(E303&gt;1,1,
ROUND(IF(E303&gt;=0.05,E303*'Reference Curves'!$T$21+'Reference Curves'!$T$22,
E303*'Reference Curves'!$S$21+'Reference Curves'!$S$22),2))),
IF($G272="2 - Upland Savannah",
IF(E303&lt;-1,0,
IF(E303&gt;1,1,
ROUND(IF(E303&gt;=0.002,E303*'Reference Curves'!$T$26+'Reference Curves'!$T$27,
E303*'Reference Curves'!$S$26+'Reference Curves'!$S$27),2))),
IF($G272="3 - Lowland Perennial",
IF(E303&lt;-1,0,
IF(E303&gt;1,1,
ROUND(IF(E303&gt;=0.005,E303*'Reference Curves'!$T$31+'Reference Curves'!$T$32,
E303*'Reference Curves'!$S$31+'Reference Curves'!$S$32),2))),
IF($G272="4 - Lowland Stable Baseflow",
IF(E303&lt;-1,0,
IF(E303&gt;1,1,
ROUND(IF(E303&gt;=0.3,E303*'Reference Curves'!$T$36+'Reference Curves'!$T$37,
E303*'Reference Curves'!$S$36+'Reference Curves'!$S$37),2))))))))</f>
        <v/>
      </c>
      <c r="G303" s="120" cm="1">
        <f t="array" ref="G303">IF(F303&lt;&gt;"",AVERAGE(F303),_xlfn.IFS(B269="Secondary",'Functional Loss'!$H$26, B269="Tertiary", 'Functional Loss'!$H$28, TRUE, 'Functional Loss'!$H$23))</f>
        <v>1</v>
      </c>
      <c r="H303" s="479"/>
      <c r="I303" s="481"/>
      <c r="J303" s="484"/>
    </row>
    <row r="304" spans="1:10" s="48" customFormat="1" ht="15" customHeight="1" x14ac:dyDescent="0.45">
      <c r="I304" s="27"/>
    </row>
    <row r="305" spans="1:10" ht="30" customHeight="1" x14ac:dyDescent="0.65">
      <c r="A305" s="500" t="s">
        <v>395</v>
      </c>
      <c r="B305" s="501"/>
      <c r="C305" s="501"/>
      <c r="D305" s="501"/>
      <c r="E305" s="501"/>
      <c r="F305" s="501"/>
      <c r="G305" s="501"/>
      <c r="H305" s="501"/>
      <c r="I305" s="501"/>
      <c r="J305" s="502"/>
    </row>
    <row r="306" spans="1:10" ht="30.75" customHeight="1" x14ac:dyDescent="0.45">
      <c r="A306" s="121" t="s">
        <v>59</v>
      </c>
      <c r="B306" s="122">
        <f>'Project Summary'!$A18</f>
        <v>0</v>
      </c>
      <c r="C306" s="282" t="s">
        <v>146</v>
      </c>
      <c r="D306" s="283"/>
      <c r="E306" s="59" t="s">
        <v>236</v>
      </c>
      <c r="F306" s="121"/>
      <c r="G306" s="467"/>
      <c r="H306" s="468"/>
      <c r="I306" s="127" t="s">
        <v>95</v>
      </c>
      <c r="J306" s="123"/>
    </row>
    <row r="307" spans="1:10" ht="31.5" x14ac:dyDescent="0.45">
      <c r="A307" s="121" t="s">
        <v>201</v>
      </c>
      <c r="B307" s="122">
        <f>'Project Summary'!D18</f>
        <v>0</v>
      </c>
      <c r="C307" s="282" t="s">
        <v>60</v>
      </c>
      <c r="D307" s="284"/>
      <c r="E307" s="59" t="s">
        <v>237</v>
      </c>
      <c r="F307" s="124"/>
      <c r="G307" s="467"/>
      <c r="H307" s="468"/>
      <c r="I307" s="127" t="s">
        <v>96</v>
      </c>
      <c r="J307" s="123"/>
    </row>
    <row r="308" spans="1:10" ht="31.5" customHeight="1" x14ac:dyDescent="0.45">
      <c r="A308" s="121" t="s">
        <v>316</v>
      </c>
      <c r="B308" s="122">
        <f>'Functional Loss'!D17</f>
        <v>0</v>
      </c>
      <c r="C308" s="282" t="s">
        <v>94</v>
      </c>
      <c r="D308" s="284"/>
      <c r="E308" s="503" t="s">
        <v>346</v>
      </c>
      <c r="F308" s="504"/>
      <c r="G308" s="467"/>
      <c r="H308" s="468"/>
      <c r="I308" s="127" t="s">
        <v>97</v>
      </c>
      <c r="J308" s="123"/>
    </row>
    <row r="309" spans="1:10" ht="31.5" x14ac:dyDescent="0.45">
      <c r="A309" s="95" t="s">
        <v>392</v>
      </c>
      <c r="B309" s="122">
        <f>'Project Summary'!C18</f>
        <v>0</v>
      </c>
      <c r="C309" s="282" t="s">
        <v>73</v>
      </c>
      <c r="D309" s="284"/>
      <c r="E309" s="59" t="s">
        <v>147</v>
      </c>
      <c r="F309" s="126"/>
      <c r="G309" s="467"/>
      <c r="H309" s="468"/>
      <c r="I309" s="127" t="s">
        <v>98</v>
      </c>
      <c r="J309" s="123"/>
    </row>
    <row r="310" spans="1:10" ht="31.5" customHeight="1" x14ac:dyDescent="0.45">
      <c r="A310" s="59" t="s">
        <v>148</v>
      </c>
      <c r="B310" s="122">
        <f>'Project Summary'!B18</f>
        <v>0</v>
      </c>
      <c r="C310" s="282" t="s">
        <v>396</v>
      </c>
      <c r="D310" s="123"/>
      <c r="E310" s="472" t="s">
        <v>355</v>
      </c>
      <c r="F310" s="472"/>
      <c r="G310" s="467"/>
      <c r="H310" s="468"/>
      <c r="I310" s="121" t="s">
        <v>226</v>
      </c>
      <c r="J310" s="197"/>
    </row>
    <row r="311" spans="1:10" ht="28.5" customHeight="1" x14ac:dyDescent="0.65">
      <c r="A311" s="473" t="s">
        <v>39</v>
      </c>
      <c r="B311" s="473"/>
      <c r="C311" s="473"/>
      <c r="D311" s="473"/>
      <c r="E311" s="473"/>
      <c r="F311" s="473"/>
      <c r="G311" s="336" t="s">
        <v>348</v>
      </c>
      <c r="H311" s="336"/>
      <c r="I311" s="336"/>
      <c r="J311" s="336"/>
    </row>
    <row r="312" spans="1:10" ht="17.25" customHeight="1" x14ac:dyDescent="0.5">
      <c r="A312" s="12" t="s">
        <v>1</v>
      </c>
      <c r="B312" s="12" t="s">
        <v>166</v>
      </c>
      <c r="C312" s="474" t="s">
        <v>165</v>
      </c>
      <c r="D312" s="475"/>
      <c r="E312" s="12" t="s">
        <v>8</v>
      </c>
      <c r="F312" s="171" t="s">
        <v>9</v>
      </c>
      <c r="G312" s="12" t="s">
        <v>10</v>
      </c>
      <c r="H312" s="12" t="s">
        <v>11</v>
      </c>
      <c r="I312" s="28" t="s">
        <v>11</v>
      </c>
      <c r="J312" s="12" t="s">
        <v>82</v>
      </c>
    </row>
    <row r="313" spans="1:10" ht="15.95" customHeight="1" x14ac:dyDescent="0.5">
      <c r="A313" s="492" t="s">
        <v>42</v>
      </c>
      <c r="B313" s="494" t="s">
        <v>65</v>
      </c>
      <c r="C313" s="166" t="s">
        <v>181</v>
      </c>
      <c r="D313" s="102"/>
      <c r="E313" s="11"/>
      <c r="F313" s="110" t="str">
        <f>IF(E313="","",IF(E313&gt;78,0,IF(E313&lt;55,1,ROUND(E313*'Reference Curves'!$B$6+'Reference Curves'!$B$7,2))))</f>
        <v/>
      </c>
      <c r="G313" s="454" cm="1">
        <f t="array" ref="G313">IF(OR(F313&lt;&gt;"",F314&lt;&gt;""),AVERAGE(F313:F314),_xlfn.IFS(B307="Secondary",'Functional Loss'!$H$26,B307="Tertiary",'Functional Loss'!$H$28,TRUE,'Functional Loss'!$H$23))</f>
        <v>1</v>
      </c>
      <c r="H313" s="496">
        <f>IFERROR(ROUND(AVERAGE(G313),2),"")</f>
        <v>1</v>
      </c>
      <c r="I313" s="498" t="str">
        <f>IF(H313="","",IF(H313&gt;0.69,"Functioning",IF(H313&gt;0.29,"Functioning At Risk",IF(H313&gt;-1,"Not Functioning"))))</f>
        <v>Functioning</v>
      </c>
      <c r="J313" s="482">
        <f>IF(AND(H313="",H315="",H318="",H334="",H340=""),"",ROUND((IF(H313="",0,H313)*0.2)+(IF(H315="",0,H315)*0.2)+(IF(H318="",0,H318)*0.2)+(IF(H334="",0,H334)*0.2)+(IF(H340="",0,H340)*0.2),2))</f>
        <v>1</v>
      </c>
    </row>
    <row r="314" spans="1:10" ht="15.95" customHeight="1" x14ac:dyDescent="0.5">
      <c r="A314" s="493"/>
      <c r="B314" s="495"/>
      <c r="C314" s="167" t="s">
        <v>143</v>
      </c>
      <c r="D314" s="103"/>
      <c r="E314" s="15"/>
      <c r="F314" s="111" t="str">
        <f>IF(E314="","",IF(E314&gt;3.33,0,IF(E314=0,1,ROUND(E314*'Reference Curves'!$B$10+'Reference Curves'!$B$11,2))))</f>
        <v/>
      </c>
      <c r="G314" s="455"/>
      <c r="H314" s="497"/>
      <c r="I314" s="498"/>
      <c r="J314" s="483"/>
    </row>
    <row r="315" spans="1:10" ht="15.95" customHeight="1" x14ac:dyDescent="0.5">
      <c r="A315" s="499" t="s">
        <v>2</v>
      </c>
      <c r="B315" s="452" t="s">
        <v>3</v>
      </c>
      <c r="C315" s="104" t="s">
        <v>182</v>
      </c>
      <c r="D315" s="104"/>
      <c r="E315" s="14"/>
      <c r="F315" s="60" t="str">
        <f>IF(E315="","",ROUND(IF(OR(E315&gt;1.71,E315&lt;0.34),0,IF(E315&lt;=1,1,E315*'Reference Curves'!$D$5+'Reference Curves'!$D$6)),2))</f>
        <v/>
      </c>
      <c r="G315" s="454" cm="1">
        <f t="array" ref="G315">IF(OR(F315&lt;&gt;"",F316&lt;&gt;""),AVERAGE(F315:F316), _xlfn.IFS(B307="Secondary",'Functional Loss'!$H$26,B307="Tertiary", 'Functional Loss'!$H$28, TRUE, 'Functional Loss'!$H$23))</f>
        <v>1</v>
      </c>
      <c r="H315" s="456">
        <f>IFERROR(ROUND(AVERAGE(G315:G317),2),"")</f>
        <v>1</v>
      </c>
      <c r="I315" s="459" t="str">
        <f>IF(H315="","",IF(H315&gt;0.69,"Functioning",IF(H315&gt;0.29,"Functioning At Risk",IF(H315&gt;-1,"Not Functioning"))))</f>
        <v>Functioning</v>
      </c>
      <c r="J315" s="483"/>
    </row>
    <row r="316" spans="1:10" ht="15.95" customHeight="1" x14ac:dyDescent="0.5">
      <c r="A316" s="452"/>
      <c r="B316" s="453"/>
      <c r="C316" s="105" t="s">
        <v>183</v>
      </c>
      <c r="D316" s="105"/>
      <c r="E316" s="15"/>
      <c r="F316" s="112" t="str">
        <f>IF(E316="","",
IF(LEFT($D308,1)="C",
ROUND(IF(E316&gt;=7.3,1,
IF(E316&lt;=1,0,
IF(E316&lt;=2.2, E316*'Reference Curves'!$D$10+'Reference Curves'!$D$11, E316*'Reference Curves'!$E$10+'Reference Curves'!$E$11))),2),
IF(LEFT($D308,1)="B",
ROUND(IF(E316&gt;=2,1,
IF(E316&lt;=1,0,
IF(E316&lt;=1.4,E316*'Reference Curves'!$D$20+'Reference Curves'!$D$21,E316*'Reference Curves'!$E$20+'Reference Curves'!$E$21))),2), IF(OR(LEFT($D308,1)="E"), ROUND(IF(E316&gt;=10,1,
IF(E316&lt;=1,0,
IF(E316&lt;=2.2,  E316*'Reference Curves'!$D$15+'Reference Curves'!$D$16,
E316*'Reference Curves'!$E$15+'Reference Curves'!$E$16))),2)))))</f>
        <v/>
      </c>
      <c r="G316" s="455"/>
      <c r="H316" s="457"/>
      <c r="I316" s="460"/>
      <c r="J316" s="483"/>
    </row>
    <row r="317" spans="1:10" ht="15.95" customHeight="1" x14ac:dyDescent="0.5">
      <c r="A317" s="453"/>
      <c r="B317" s="248" t="s">
        <v>184</v>
      </c>
      <c r="C317" s="104" t="s">
        <v>185</v>
      </c>
      <c r="D317" s="104"/>
      <c r="E317" s="14"/>
      <c r="F317" s="60" t="str">
        <f>IF(E317="","",(IF(E317&gt;=1.8,0,  IF(E317=1,1,ROUND(IF(E317&gt;1,E317*'Reference Curves'!$E$25+'Reference Curves'!$E$26, IF(E315&gt;1.2, IF(E317&lt;=0.2,0,E317*'Reference Curves'!$D$25+'Reference Curves'!$D$26),1)),2)))))</f>
        <v/>
      </c>
      <c r="G317" s="120" cm="1">
        <f t="array" ref="G317">IF(OR(D308="D",D308="DA"),"",IF(F317&lt;&gt;"",IFERROR(AVERAGE(F317),""),_xlfn.IFS(B307="Secondary",'Functional Loss'!$H$26, B307="Tertiary", 'Functional Loss'!$H$28, TRUE, 'Functional Loss'!$H$23)))</f>
        <v>1</v>
      </c>
      <c r="H317" s="458"/>
      <c r="I317" s="461"/>
      <c r="J317" s="483"/>
    </row>
    <row r="318" spans="1:10" ht="15.95" customHeight="1" x14ac:dyDescent="0.5">
      <c r="A318" s="462" t="s">
        <v>14</v>
      </c>
      <c r="B318" s="462" t="s">
        <v>15</v>
      </c>
      <c r="C318" s="162" t="s">
        <v>13</v>
      </c>
      <c r="D318" s="163"/>
      <c r="E318" s="11"/>
      <c r="F318" s="113" t="str">
        <f>IF(E318="","",ROUND(IF(E318&gt;=731,1,IF(E318&lt;=0,0,IF(E318&lt;355,E318*'Reference Curves'!$G$6+'Reference Curves'!$G$7,E318*'Reference Curves'!$H$6+'Reference Curves'!$H$7))),2))</f>
        <v/>
      </c>
      <c r="G318" s="454" cm="1">
        <f t="array" ref="G318">IF(OR(F318&lt;&gt;"",F319&lt;&gt;""),AVERAGE(F318:F319), _xlfn.IFS(B307="Secondary",'Functional Loss'!$H$26,B307="Tertiary", 'Functional Loss'!$H$28, TRUE, 'Functional Loss'!$H$23))</f>
        <v>1</v>
      </c>
      <c r="H318" s="464">
        <f>IFERROR(ROUND(AVERAGE(G318:G333),2),"")</f>
        <v>1</v>
      </c>
      <c r="I318" s="459" t="str">
        <f>IF(H318="","",IF(H318&gt;0.69,"Functioning",IF(H318&gt;0.29,"Functioning At Risk",IF(H318&gt;-1,"Not Functioning"))))</f>
        <v>Functioning</v>
      </c>
      <c r="J318" s="483"/>
    </row>
    <row r="319" spans="1:10" ht="15.95" customHeight="1" x14ac:dyDescent="0.5">
      <c r="A319" s="469"/>
      <c r="B319" s="463"/>
      <c r="C319" s="160" t="s">
        <v>186</v>
      </c>
      <c r="D319" s="161"/>
      <c r="E319" s="15"/>
      <c r="F319" s="25" t="str">
        <f>IF(E319="","",ROUND(IF(E319&gt;=28,1,IF(E319&lt;16,E319*'Reference Curves'!$G$11+'Reference Curves'!$G$12,E319*'Reference Curves'!$H$11+'Reference Curves'!$H$12)),2))</f>
        <v/>
      </c>
      <c r="G319" s="455"/>
      <c r="H319" s="464"/>
      <c r="I319" s="460"/>
      <c r="J319" s="483"/>
    </row>
    <row r="320" spans="1:10" ht="15.95" customHeight="1" x14ac:dyDescent="0.5">
      <c r="A320" s="469"/>
      <c r="B320" s="469" t="s">
        <v>92</v>
      </c>
      <c r="C320" s="106" t="s">
        <v>187</v>
      </c>
      <c r="D320" s="106"/>
      <c r="E320" s="114"/>
      <c r="F320" s="24" t="str">
        <f>IF(E320="","",
ROUND(IF(E320&gt;=0.71,0,
IF(E320&lt;=0.1,1,
IF(E320&lt;=0.2,E320*'Reference Curves'!$I$16+'Reference Curves'!$I$17,
IF(E320&gt;=0.4,E320*'Reference Curves'!$G$16+'Reference Curves'!$G$17,
E320*'Reference Curves'!$H$16+'Reference Curves'!$H$17)))),2))</f>
        <v/>
      </c>
      <c r="G320" s="471" cm="1">
        <f t="array" ref="G320">IF(E323&gt;50,0,IF(OR(F320&lt;&gt;"",F321&lt;&gt;"",F322&lt;&gt;"",F323&lt;&gt;""),AVERAGE(F320:F323),_xlfn.IFS(B307="Secondary",'Functional Loss'!$H$26,B307="Tertiary",'Functional Loss'!$H$28,TRUE,'Functional Loss'!$H$23)))</f>
        <v>1</v>
      </c>
      <c r="H320" s="464"/>
      <c r="I320" s="460"/>
      <c r="J320" s="483"/>
    </row>
    <row r="321" spans="1:10" ht="15.95" customHeight="1" x14ac:dyDescent="0.5">
      <c r="A321" s="469"/>
      <c r="B321" s="469"/>
      <c r="C321" s="106" t="s">
        <v>36</v>
      </c>
      <c r="D321" s="106"/>
      <c r="E321" s="115"/>
      <c r="F321" s="8" t="str">
        <f>IF(E321="","",IF(OR(E321="Ex/VL",E321="VH/VL",E321="H/M",E321="H/L",E321="H/VL"),0.2, IF(OR(LEFT(E321,2)="Ex",E321="VH/Ex",E321="VH/VH", E321="VH/H"),0,IF(OR(E321="VH/M",E321="VH/L",E321="H/Ex", E321="H/VH", E321="H/H"),0.1, IF(OR(E321="M/Ex",E321="M/VH"),0.3, IF(E321="M/H",0.4, IF(E321="M/M",0.5, IF(OR(E321="M/L",E321="M/VL"),0.6, IF(E321="L/Ex",0.7, IF(OR(LEFT(E321,1)="L",LEFT(E321,2)="VL"),1))))))))))</f>
        <v/>
      </c>
      <c r="G321" s="471"/>
      <c r="H321" s="464"/>
      <c r="I321" s="460"/>
      <c r="J321" s="483"/>
    </row>
    <row r="322" spans="1:10" ht="15.95" customHeight="1" x14ac:dyDescent="0.5">
      <c r="A322" s="469"/>
      <c r="B322" s="469"/>
      <c r="C322" s="164" t="s">
        <v>48</v>
      </c>
      <c r="D322" s="106"/>
      <c r="E322" s="114"/>
      <c r="F322" s="8" t="str">
        <f>IF(E322="","",ROUND(IF(E322&gt;=50,0,IF(E322&lt;=5,1,IF(E322&gt;11,E322*'Reference Curves'!$G$21+'Reference Curves'!$G$22,E322*'Reference Curves'!$H$21+'Reference Curves'!$H$22))),2))</f>
        <v/>
      </c>
      <c r="G322" s="471"/>
      <c r="H322" s="464"/>
      <c r="I322" s="460"/>
      <c r="J322" s="483"/>
    </row>
    <row r="323" spans="1:10" ht="15.95" customHeight="1" x14ac:dyDescent="0.5">
      <c r="A323" s="469"/>
      <c r="B323" s="469"/>
      <c r="C323" s="107" t="s">
        <v>124</v>
      </c>
      <c r="D323" s="107"/>
      <c r="E323" s="16"/>
      <c r="F323" s="25" t="str">
        <f>IF(E323="","",ROUND(IF(E323&gt;=30,0,E323*'Reference Curves'!$G$25+'Reference Curves'!$G$26),2))</f>
        <v/>
      </c>
      <c r="G323" s="471"/>
      <c r="H323" s="464"/>
      <c r="I323" s="460"/>
      <c r="J323" s="483"/>
    </row>
    <row r="324" spans="1:10" ht="15.95" customHeight="1" x14ac:dyDescent="0.5">
      <c r="A324" s="469"/>
      <c r="B324" s="462" t="s">
        <v>37</v>
      </c>
      <c r="C324" s="108" t="s">
        <v>144</v>
      </c>
      <c r="D324" s="163"/>
      <c r="E324" s="58"/>
      <c r="F324" s="116" t="str">
        <f>IF(E324="","",
IF(AND($G307="Single Family Residential",$G306="&lt; 5 %"),
ROUND(IF(E324&lt;=0,0,IF(E324&gt;=300,1,IF(E324&gt;=50, E324*'Reference Curves'!$H$31 +'Reference Curves'!$H$32,
E324*'Reference Curves'!$G$31 +'Reference Curves'!$G$32))),2),
IF(AND($G307="Single Family Residential",$G306="5 - 20 %"),
ROUND(IF(E324&lt;=0,0,IF(E324&gt;=300,1,IF(E324&gt;=100,E324*'Reference Curves'!$J$31+'Reference Curves'!$J$32,
E324*'Reference Curves'!$I$31+'Reference Curves'!$I$32))),2),
IF(AND($G307="Single Family Residential",$G306="21 - 40 %"),
ROUND(IF(E324&lt;=0,0,IF(E324&gt;=300,1,IF(E324&gt;=150,E324*'Reference Curves'!$L$31+'Reference Curves'!$L$32,
E324*'Reference Curves'!$K$31+'Reference Curves'!$K$32))),2),
IF(AND($G307="Single Family Residential",$G306="&gt; 40 %"),
ROUND(IF(E324&lt;=0,0,IF(E324&gt;=300,1,IF(E324&gt;=200,E324*'Reference Curves'!$N$31+'Reference Curves'!$N$32,
E324*'Reference Curves'!$M$31+'Reference Curves'!$M$32))),2),                           IF(AND($G307="Multi-Family Residential",$G306="&lt; 5 %"),
ROUND(IF(E324&lt;=0,0,IF(E324&gt;=293,1,IF(E324&gt;=60,E324*'Reference Curves'!$H$37+'Reference Curves'!$H$38,
E324*'Reference Curves'!$G$37+'Reference Curves'!$G$38))),2),
IF(AND($G307="Multi-Family Residential",$G306="5 - 20 %"),
ROUND(IF(E324&lt;=0,0,IF(E324&gt;=293,1,IF(E324&gt;=120, E324*'Reference Curves'!$J$37+'Reference Curves'!$J$38,
E324*'Reference Curves'!$I$37+'Reference Curves'!$I$38))),2),
IF(AND($G307="Multi-Family Residential",$G306="21 - 40 %"),
ROUND(IF(E324&lt;=0,0,IF(E324&gt;=300,1, IF(E324&gt;=180, E324*'Reference Curves'!$L$37+'Reference Curves'!$L$38,
E324*'Reference Curves'!$K$37+'Reference Curves'!$K$38))),2),
IF(AND($G307="Multi-Family Residential",$G306="&gt; 40 %"),
ROUND(IF(E324&lt;=0,0,IF(E324&gt;=345,1,E324*'Reference Curves'!$M$37+'Reference Curves'!$M$38)),2),
IF(AND($G307="Commercial / Golf Course / Agriculture / Silviculture", $G306="&lt; 5 %"),
ROUND(IF(E324&lt;=0,0, IF(E324&gt;=300,1, IF(E324&gt;=150,E324*'Reference Curves'!$H$43+'Reference Curves'!$H$44,
E324*'Reference Curves'!$G$43+'Reference Curves'!$G$44))),2),
IF(AND($G307="Commercial / Golf Course / Agriculture / Silviculture", $G306="5 - 20 %"),
ROUND(IF(E324&lt;=0,0, IF(E324&gt;=300,1, IF(E324&gt;=150,E324*'Reference Curves'!$H$43+'Reference Curves'!$H$44,
E324*'Reference Curves'!$G$43+'Reference Curves'!$G$44))),2),
IF(AND($G307="Commercial / Golf Course / Agriculture / Silviculture",$G306="21 - 40 %"),
ROUND(IF(E324&lt;=0,0,IF(E324&gt;=322.5,1, E324*'Reference Curves'!$I$43+'Reference Curves'!$I$44)),2),
IF(AND($G307="Commercial / Golf Course / Agriculture / Silviculture",$G306="&gt; 40 %"),
ROUND(IF(E324&lt;=0,0,IF(E324&gt;=434.7,1,E324*'Reference Curves'!$J$43+'Reference Curves'!$J$44)),2),
                   IF(AND($G307="Industrial / Landfill", $G306="&lt; 5 %"),
ROUND(IF(E324&lt;=0,0,IF(E324&gt;=300,1,IF(E324&gt;=150, E324*'Reference Curves'!$H$49+'Reference Curves'!$H$50,
E324*'Reference Curves'!$G$49+'Reference Curves'!$G$50))),2),
IF(AND($G307="Industrial / Landfill", $G306="5 - 20 %"),
ROUND(IF(E324&lt;=0,0,IF(E324&gt;=357.1,1, E324*'Reference Curves'!$I$49+'Reference Curves'!$I$50)),2),
IF(AND($G307="Industrial / Landfill",$G306="21 - 40 %"),
ROUND(IF(E324&lt;=0,0,IF(E324&gt;=499.9,1, E324*'Reference Curves'!$J$49+'Reference Curves'!$J$50)),2)))))))))))))))))</f>
        <v/>
      </c>
      <c r="G324" s="454" cm="1">
        <f t="array" ref="G324">IF(OR(F324&lt;&gt;"",F325&lt;&gt;"",F326&lt;&gt;"",F327&lt;&gt;"", F328&lt;&gt;"",F329&lt;&gt;""),AVERAGE(F324:F329), _xlfn.IFS(B307="Secondary",'Functional Loss'!$H$26, B307="Tertiary", 'Functional Loss'!$H$28, TRUE, 'Functional Loss'!$H$23))</f>
        <v>1</v>
      </c>
      <c r="H324" s="464"/>
      <c r="I324" s="460"/>
      <c r="J324" s="483"/>
    </row>
    <row r="325" spans="1:10" ht="15.95" customHeight="1" x14ac:dyDescent="0.5">
      <c r="A325" s="469"/>
      <c r="B325" s="469"/>
      <c r="C325" s="106" t="s">
        <v>159</v>
      </c>
      <c r="D325" s="165"/>
      <c r="E325" s="32"/>
      <c r="F325" s="117" t="str">
        <f>IF(E325="","",ROUND(IF(E325&gt;=9.3,1,E325*'Reference Curves'!$G$53+'Reference Curves'!$G$54),2))</f>
        <v/>
      </c>
      <c r="G325" s="470"/>
      <c r="H325" s="464"/>
      <c r="I325" s="460"/>
      <c r="J325" s="483"/>
    </row>
    <row r="326" spans="1:10" ht="15.95" customHeight="1" x14ac:dyDescent="0.5">
      <c r="A326" s="469"/>
      <c r="B326" s="469"/>
      <c r="C326" s="106" t="s">
        <v>188</v>
      </c>
      <c r="D326" s="165"/>
      <c r="E326" s="32"/>
      <c r="F326" s="117" t="str">
        <f>IF(E326="","",ROUND(IF(AND(E326&gt;=135,E326&lt;=262),1,IF(E326&gt;=366,0.5,IF(E326&lt;135,E326*'Reference Curves'!$G$57+'Reference Curves'!$G$58,E326*'Reference Curves'!$H$57+'Reference Curves'!$H$58))),2))</f>
        <v/>
      </c>
      <c r="G326" s="470"/>
      <c r="H326" s="464"/>
      <c r="I326" s="460"/>
      <c r="J326" s="483"/>
    </row>
    <row r="327" spans="1:10" ht="15.95" customHeight="1" x14ac:dyDescent="0.5">
      <c r="A327" s="469"/>
      <c r="B327" s="469"/>
      <c r="C327" s="106" t="s">
        <v>189</v>
      </c>
      <c r="D327" s="165"/>
      <c r="E327" s="32"/>
      <c r="F327" s="117" t="str">
        <f>IF(E327="","",  IF($G$4="&lt; 20 %",ROUND(IF(E327&gt;=566,1,E327*'Reference Curves'!$G$61+'Reference Curves'!$G$62),2)))</f>
        <v/>
      </c>
      <c r="G327" s="470"/>
      <c r="H327" s="464"/>
      <c r="I327" s="460"/>
      <c r="J327" s="483"/>
    </row>
    <row r="328" spans="1:10" ht="15.95" customHeight="1" x14ac:dyDescent="0.5">
      <c r="A328" s="469"/>
      <c r="B328" s="469"/>
      <c r="C328" s="106" t="s">
        <v>145</v>
      </c>
      <c r="D328" s="165"/>
      <c r="E328" s="32"/>
      <c r="F328" s="117" t="str">
        <f>IF(E328="","", ROUND(IF(E328&gt;=75,1,E328*'Reference Curves'!$G$65+'Reference Curves'!$G$66),2))</f>
        <v/>
      </c>
      <c r="G328" s="470"/>
      <c r="H328" s="464"/>
      <c r="I328" s="460"/>
      <c r="J328" s="483"/>
    </row>
    <row r="329" spans="1:10" ht="15.95" customHeight="1" x14ac:dyDescent="0.5">
      <c r="A329" s="469"/>
      <c r="B329" s="469"/>
      <c r="C329" s="106" t="s">
        <v>190</v>
      </c>
      <c r="D329" s="165"/>
      <c r="E329" s="32"/>
      <c r="F329" s="117" t="str">
        <f>IF(E329="","",IF(E329&gt;=100,0,ROUND(IF(E329&lt;=0,1,E329*'Reference Curves'!$G$69+'Reference Curves'!$G$70),2)))</f>
        <v/>
      </c>
      <c r="G329" s="470"/>
      <c r="H329" s="464"/>
      <c r="I329" s="460"/>
      <c r="J329" s="483"/>
    </row>
    <row r="330" spans="1:10" s="48" customFormat="1" ht="15.95" customHeight="1" x14ac:dyDescent="0.5">
      <c r="A330" s="469"/>
      <c r="B330" s="463"/>
      <c r="C330" s="106" t="s">
        <v>191</v>
      </c>
      <c r="D330" s="165"/>
      <c r="E330" s="32"/>
      <c r="F330" s="117"/>
      <c r="G330" s="455"/>
      <c r="H330" s="464"/>
      <c r="I330" s="460"/>
      <c r="J330" s="483"/>
    </row>
    <row r="331" spans="1:10" ht="15.95" customHeight="1" x14ac:dyDescent="0.5">
      <c r="A331" s="469"/>
      <c r="B331" s="462" t="s">
        <v>38</v>
      </c>
      <c r="C331" s="108" t="s">
        <v>192</v>
      </c>
      <c r="D331" s="163"/>
      <c r="E331" s="11"/>
      <c r="F331" s="24" t="str">
        <f>IF(E331="","",
IF($D308="Bc", ROUND(IF(E331&lt;=5,1,
IF(E331&gt;=8,0,
IF(E331&lt;6,E331*'Reference Curves'!$G$79+'Reference Curves'!$G$80,E331*'Reference Curves'!$H$79+'Reference Curves'!$H$80))),2),       IF(OR(LEFT($D308,1)="B",LEFT($D308,1)="A"),
ROUND(IF(E331&lt;=4,1,
IF(E331&gt;=6.5,0,
IF(E331&lt;5,E331*'Reference Curves'!$G$74+'Reference Curves'!$G$75, E331*'Reference Curves'!$H$74+'Reference Curves'!$H$75))),2),   IF(OR(LEFT($D308,1)="E",LEFT($D308,1)="C"),
ROUND(IF(OR(E331&gt;=9,E331&lt;=1),0,
IF(AND(E331&gt;=3.5,E331&lt;=6),1,
IF(E331&lt;3.5,E331*'Reference Curves'!$G$84+'Reference Curves'!$G$85,
E331*'Reference Curves'!$H$84+'Reference Curves'!$H$85))),2)))))</f>
        <v/>
      </c>
      <c r="G331" s="454" cm="1">
        <f t="array" ref="G331">IF(OR(D308="D",D308="DA"),"",IF(OR(F331&lt;&gt;"",F332&lt;&gt;"",F333&lt;&gt;""),AVERAGE(F331:F333),_xlfn.IFS(B307="Secondary",'Functional Loss'!$H$26,B307="Tertiary",'Functional Loss'!$H$28,TRUE,'Functional Loss'!$H$23)))</f>
        <v>1</v>
      </c>
      <c r="H331" s="464"/>
      <c r="I331" s="460"/>
      <c r="J331" s="483"/>
    </row>
    <row r="332" spans="1:10" ht="15.95" customHeight="1" x14ac:dyDescent="0.5">
      <c r="A332" s="469"/>
      <c r="B332" s="469"/>
      <c r="C332" s="106" t="s">
        <v>193</v>
      </c>
      <c r="D332" s="165"/>
      <c r="E332" s="14"/>
      <c r="F332" s="8" t="str">
        <f>IF(E332="","",IF(LEFT($D308,1)="A",
IF(E332&gt;=1.7,1,
IF(E332&lt;=1,0,
ROUND(IF(E332&lt;=1.1,'Reference Curves'!$G$89+'Reference Curves'!$G$90,
(IF(E332&gt;=1.4,E332*'Reference Curves'!$I$89+'Reference Curves'!$I$90,
E332*'Reference Curves'!$H$89+'Reference Curves'!$H$90))),2))),            IF(LEFT($D308,1)="B",
IF(E332&gt;=2.9,1,
IF(E332&lt;=1,0,
ROUND(IF(E332&lt;=2,E332*'Reference Curves'!$G$94+'Reference Curves'!$G$95,
(IF(E332&gt;=2.3,E332*'Reference Curves'!$I$94+'Reference Curves'!$I$95,
E332*'Reference Curves'!$H$94+'Reference Curves'!$H$95))),2))),     IF(LEFT($D308,1)="C",
IF(E332&gt;=2.3,1,
IF(E332&lt;=1,0,
ROUND(IF(E332&lt;=1.2,E332*'Reference Curves'!$G$99+'Reference Curves'!$G$100,
IF(E332&gt;=1.9, E332*'Reference Curves'!$I$99+'Reference Curves'!$I$100,
E332*'Reference Curves'!$H$99+'Reference Curves'!$H$100)),2))),          IF(LEFT($D308,1)="E",
IF(E332&gt;=2.1,1,
IF(E332&lt;=1,0,
ROUND(IF(E332&gt;=1.7, E332*'Reference Curves'!$I$104+'Reference Curves'!$I$105, IF(E332&lt;=1.4,
E332*'Reference Curves'!$G$104+'Reference Curves'!$G$105,E332*'Reference Curves'!$H$104+'Reference Curves'!$H$105)),2))))))))</f>
        <v/>
      </c>
      <c r="G332" s="470"/>
      <c r="H332" s="464"/>
      <c r="I332" s="460"/>
      <c r="J332" s="483"/>
    </row>
    <row r="333" spans="1:10" ht="15.95" customHeight="1" x14ac:dyDescent="0.5">
      <c r="A333" s="469"/>
      <c r="B333" s="463"/>
      <c r="C333" s="109" t="s">
        <v>80</v>
      </c>
      <c r="D333" s="161"/>
      <c r="E333" s="14"/>
      <c r="F333" s="118" t="str">
        <f>IF(E333="","",IF(OR(LEFT($D308,1)="F",LEFT($D308,1)="G",LEFT($D308,1)="D"),"FALSE",
IF(LEFT($D308,1)="A",
ROUND(IF(OR(E333&gt;=100,E333&lt;=0),0,IF(E333&lt;=54,E333*'Reference Curves'!$G$109+'Reference Curves'!$G$110,
IF(E333&gt;=62,E333*'Reference Curves'!$H$109+'Reference Curves'!$H$110,1))),2),IF(LEFT($D308,1)="B",
ROUND(IF(OR(E333&gt;=100,E333&lt;=0),0,IF(E333&lt;=53,E333*'Reference Curves'!$G$114+'Reference Curves'!$G$115,
IF(E333&gt;=61,E333*'Reference Curves'!$H$114+'Reference Curves'!$H$115,1))),2),
IF(LEFT($D308,1)="C",
ROUND(IF(OR(E333&gt;=100,E333&lt;=0),0,
IF(E333&lt;45,E333*'Reference Curves'!$G$119+'Reference Curves'!$G$120,
IF(E333&gt;=64,E333*'Reference Curves'!$H$119+'Reference Curves'!$H$120,1))),2),
IF(LEFT($D308,1)="E",
ROUND(IF(OR(E333&gt;=100,E333&lt;=0),0,
IF(E333&lt;43,E333*'Reference Curves'!$G$124+'Reference Curves'!$G$125,
IF(E333&gt;=63,E333*'Reference Curves'!$H$124+'Reference Curves'!$H$125,1))),2),))))))</f>
        <v/>
      </c>
      <c r="G333" s="470"/>
      <c r="H333" s="464"/>
      <c r="I333" s="461"/>
      <c r="J333" s="483"/>
    </row>
    <row r="334" spans="1:10" ht="15.95" customHeight="1" x14ac:dyDescent="0.5">
      <c r="A334" s="485" t="s">
        <v>40</v>
      </c>
      <c r="B334" s="249" t="s">
        <v>103</v>
      </c>
      <c r="C334" s="267" t="s">
        <v>235</v>
      </c>
      <c r="D334" s="98"/>
      <c r="E334" s="26"/>
      <c r="F334" s="119" t="str">
        <f>IF(E334="","",IF($G309="Coldwater",IF(E334&gt;=77,0,IF(E334&lt;=58.04,1,ROUND(E334*'Reference Curves'!$P$6+'Reference Curves'!$P$7,2)))))</f>
        <v/>
      </c>
      <c r="G334" s="120" cm="1">
        <f t="array" ref="G334">IF(G309="Warmwater","", IF(F334&lt;&gt;"",AVERAGE(F334),_xlfn.IFS(B307="Secondary",'Functional Loss'!$H$26,B307="Tertiary",'Functional Loss'!$H$28,TRUE,'Functional Loss'!$H$23)))</f>
        <v>1</v>
      </c>
      <c r="H334" s="465">
        <f>IFERROR(ROUND(AVERAGE(G334:G339),2),"")</f>
        <v>1</v>
      </c>
      <c r="I334" s="480" t="str">
        <f>IF(H334="","",IF(H334&gt;0.69,"Functioning",IF(H334&gt;0.29,"Functioning At Risk",IF(H334&gt;-1,"Not Functioning"))))</f>
        <v>Functioning</v>
      </c>
      <c r="J334" s="483"/>
    </row>
    <row r="335" spans="1:10" ht="15.95" customHeight="1" x14ac:dyDescent="0.5">
      <c r="A335" s="486"/>
      <c r="B335" s="81" t="s">
        <v>127</v>
      </c>
      <c r="C335" s="268" t="s">
        <v>370</v>
      </c>
      <c r="D335" s="99"/>
      <c r="E335" s="26"/>
      <c r="F335" s="119" t="str">
        <f>IF(E335="","",
ROUND(IF(E335&gt;='Reference Curves'!$P$16,0,
IF(E335&lt;=35,1,
IF(E335&gt;=121,E335*'Reference Curves'!$P$11+'Reference Curves'!$P$12,
E335*'Reference Curves'!$Q$11+'Reference Curves'!$Q$12))),2))</f>
        <v/>
      </c>
      <c r="G335" s="119" cm="1">
        <f t="array" ref="G335">IF(F335&lt;&gt;"",AVERAGE(F335),_xlfn.IFS(B307="Secondary",'Functional Loss'!$H$26,B307="Tertiary", 'Functional Loss'!$H$28, TRUE, 'Functional Loss'!$H$23))</f>
        <v>1</v>
      </c>
      <c r="H335" s="488"/>
      <c r="I335" s="489"/>
      <c r="J335" s="483"/>
    </row>
    <row r="336" spans="1:10" s="48" customFormat="1" ht="15.95" customHeight="1" x14ac:dyDescent="0.5">
      <c r="A336" s="486"/>
      <c r="B336" s="100" t="s">
        <v>196</v>
      </c>
      <c r="C336" s="100" t="s">
        <v>197</v>
      </c>
      <c r="D336" s="101"/>
      <c r="E336" s="14"/>
      <c r="F336" s="119" t="str">
        <f>IF(E336="","",
IF(E336&gt;=2.3,0,
IF(E336&lt;=0.4,1,
ROUND(IF(E336&lt;0.8,E336*'Reference Curves'!$Q$21+'Reference Curves'!$Q$22,E336*'Reference Curves'!$P$21+'Reference Curves'!$P$22),2))))</f>
        <v/>
      </c>
      <c r="G336" s="119" cm="1">
        <f t="array" ref="G336">IF(F336&lt;&gt;"",AVERAGE(F336),_xlfn.IFS(B307="Secondary",'Functional Loss'!$H$26, B307="Tertiary", 'Functional Loss'!$H$28, TRUE, 'Functional Loss'!$H$23))</f>
        <v>1</v>
      </c>
      <c r="H336" s="488"/>
      <c r="I336" s="489"/>
      <c r="J336" s="483"/>
    </row>
    <row r="337" spans="1:10" ht="15.95" customHeight="1" x14ac:dyDescent="0.5">
      <c r="A337" s="486"/>
      <c r="B337" s="100" t="s">
        <v>198</v>
      </c>
      <c r="C337" s="263" t="s">
        <v>199</v>
      </c>
      <c r="D337" s="269"/>
      <c r="E337" s="11"/>
      <c r="F337" s="119" t="str">
        <f>IF(E337="","",
IF(E337&gt;=0.2,0,
IF(E337&lt;=0.04,1,
ROUND(IF(E337&lt;0.08,E337*'Reference Curves'!$Q$26+'Reference Curves'!$Q$27,
E337*'Reference Curves'!$P$26+'Reference Curves'!$P$27),2))))</f>
        <v/>
      </c>
      <c r="G337" s="119" cm="1">
        <f t="array" ref="G337">IF(F337&lt;&gt;"",AVERAGE(F337),_xlfn.IFS(B307="Secondary",'Functional Loss'!$H$26, B307="Tertiary", 'Functional Loss'!$H$28, TRUE, 'Functional Loss'!$H$23))</f>
        <v>1</v>
      </c>
      <c r="H337" s="488"/>
      <c r="I337" s="489"/>
      <c r="J337" s="483"/>
    </row>
    <row r="338" spans="1:10" ht="15.95" customHeight="1" x14ac:dyDescent="0.5">
      <c r="A338" s="486"/>
      <c r="B338" s="490" t="s">
        <v>371</v>
      </c>
      <c r="C338" s="263" t="s">
        <v>372</v>
      </c>
      <c r="D338" s="270"/>
      <c r="E338" s="271"/>
      <c r="F338" s="119" t="str">
        <f>IF(E338="","",
IF(E338&gt;=100,0,
IF(E338&lt;=10,1,
ROUND(IF(E338&lt;50,E338*'Reference Curves'!$Q$32+'Reference Curves'!$Q$33,
E338*'Reference Curves'!$P$32+'Reference Curves'!$P$33),2)
)))</f>
        <v/>
      </c>
      <c r="G338" s="465" cm="1">
        <f t="array" ref="G338">IF(OR(F338&lt;&gt;"",F339&lt;&gt;""),AVERAGE(F338:F339), _xlfn.IFS(B307="Secondary",'Functional Loss'!$H$26,B307="Tertiary", 'Functional Loss'!$H$28, TRUE, 'Functional Loss'!$H$23))</f>
        <v>1</v>
      </c>
      <c r="H338" s="488"/>
      <c r="I338" s="489"/>
      <c r="J338" s="483"/>
    </row>
    <row r="339" spans="1:10" ht="15.95" customHeight="1" x14ac:dyDescent="0.5">
      <c r="A339" s="487"/>
      <c r="B339" s="491"/>
      <c r="C339" s="266" t="s">
        <v>373</v>
      </c>
      <c r="D339" s="264"/>
      <c r="E339" s="16"/>
      <c r="F339" s="265" t="str">
        <f>IF(E339="","",
IF(E339&gt;=100,0,
IF(E339&lt;=10,1,
ROUND(IF(E339&lt;50,E339*'Reference Curves'!$Q$32+'Reference Curves'!$Q$33,
E339*'Reference Curves'!$P$32+'Reference Curves'!$P$33),2)
)))</f>
        <v/>
      </c>
      <c r="G339" s="466"/>
      <c r="H339" s="466"/>
      <c r="I339" s="481"/>
      <c r="J339" s="483"/>
    </row>
    <row r="340" spans="1:10" ht="15.95" customHeight="1" x14ac:dyDescent="0.5">
      <c r="A340" s="476" t="s">
        <v>41</v>
      </c>
      <c r="B340" s="211" t="s">
        <v>81</v>
      </c>
      <c r="C340" s="56" t="s">
        <v>200</v>
      </c>
      <c r="D340" s="57"/>
      <c r="E340" s="273"/>
      <c r="F340" s="274" t="str">
        <f>IF(E340="","",
IF($D306="Blue Ridge Mountains",
ROUND(IF(E340&lt;=0,0,
IF(E340&gt;=36,1,
IF(E340&lt;=19,E340*'Reference Curves'!$S$6+'Reference Curves'!$S$7,
IF(E340&gt;=28, E340*'Reference Curves'!$U$6+'Reference Curves'!$U$7,
E340*'Reference Curves'!$T$6+'Reference Curves'!$T$7 )))),2),
IF($D306="Piedmont",
ROUND(IF(E340&lt;=0,0,
IF(E340&gt;=28,1,
IF(E340&lt;=14,E340*'Reference Curves'!$S$11+'Reference Curves'!$S$12,
IF(E340&gt;=21, E340*'Reference Curves'!$U$11+'Reference Curves'!$U$12,
E340*'Reference Curves'!$T$11+'Reference Curves'!$T$12)))),2),
IF(OR($D306="Southeastern Plains",$D306="Middle Atlantic Coastal Plain"),
ROUND(IF(E340&lt;=0,0,
IF(E340&gt;=15,1,
IF(E340&lt;=5, E340*'Reference Curves'!$S$16+'Reference Curves'!$S$17,
IF(E340&gt;=10,E340*'Reference Curves'!$U$16+'Reference Curves'!$U$17,
E340*'Reference Curves'!$T$16+'Reference Curves'!$T$17)))),2)))))</f>
        <v/>
      </c>
      <c r="G340" s="272" cm="1">
        <f t="array" ref="G340">IF(F340&lt;&gt;"",AVERAGE(F340),_xlfn.IFS(B307="Secondary",'Functional Loss'!$H$26, B307="Tertiary", 'Functional Loss'!$H$28, TRUE, 'Functional Loss'!$H$23))</f>
        <v>1</v>
      </c>
      <c r="H340" s="478">
        <f>IFERROR(ROUND(AVERAGE(G340:G341),2),"")</f>
        <v>1</v>
      </c>
      <c r="I340" s="480" t="str">
        <f>IF(H340="","",IF(H340&gt;0.69,"Functioning",IF(H340&gt;0.29,"Functioning At Risk",IF(H340&gt;-1,"Not Functioning"))))</f>
        <v>Functioning</v>
      </c>
      <c r="J340" s="483"/>
    </row>
    <row r="341" spans="1:10" s="48" customFormat="1" ht="15.95" customHeight="1" x14ac:dyDescent="0.5">
      <c r="A341" s="477"/>
      <c r="B341" s="211" t="s">
        <v>45</v>
      </c>
      <c r="C341" s="57" t="s">
        <v>374</v>
      </c>
      <c r="D341" s="57"/>
      <c r="E341" s="275"/>
      <c r="F341" s="210" t="str">
        <f>IF(E341="","",
IF($G310="1 - Upland Santee/Pee-Dee Basin",
IF(E341&lt;-1,0,
IF(E341&gt;1,1,
ROUND(IF(E341&gt;=0.05,E341*'Reference Curves'!$T$21+'Reference Curves'!$T$22,
E341*'Reference Curves'!$S$21+'Reference Curves'!$S$22),2))),
IF($G310="2 - Upland Savannah",
IF(E341&lt;-1,0,
IF(E341&gt;1,1,
ROUND(IF(E341&gt;=0.002,E341*'Reference Curves'!$T$26+'Reference Curves'!$T$27,
E341*'Reference Curves'!$S$26+'Reference Curves'!$S$27),2))),
IF($G310="3 - Lowland Perennial",
IF(E341&lt;-1,0,
IF(E341&gt;1,1,
ROUND(IF(E341&gt;=0.005,E341*'Reference Curves'!$T$31+'Reference Curves'!$T$32,
E341*'Reference Curves'!$S$31+'Reference Curves'!$S$32),2))),
IF($G310="4 - Lowland Stable Baseflow",
IF(E341&lt;-1,0,
IF(E341&gt;1,1,
ROUND(IF(E341&gt;=0.3,E341*'Reference Curves'!$T$36+'Reference Curves'!$T$37,
E341*'Reference Curves'!$S$36+'Reference Curves'!$S$37),2))))))))</f>
        <v/>
      </c>
      <c r="G341" s="120" cm="1">
        <f t="array" ref="G341">IF(F341&lt;&gt;"",AVERAGE(F341),_xlfn.IFS(B307="Secondary",'Functional Loss'!$H$26, B307="Tertiary", 'Functional Loss'!$H$28, TRUE, 'Functional Loss'!$H$23))</f>
        <v>1</v>
      </c>
      <c r="H341" s="479"/>
      <c r="I341" s="481"/>
      <c r="J341" s="484"/>
    </row>
    <row r="342" spans="1:10" s="48" customFormat="1" ht="15" customHeight="1" x14ac:dyDescent="0.45">
      <c r="I342" s="27"/>
    </row>
    <row r="343" spans="1:10" ht="30" customHeight="1" x14ac:dyDescent="0.65">
      <c r="A343" s="500" t="s">
        <v>395</v>
      </c>
      <c r="B343" s="501"/>
      <c r="C343" s="501"/>
      <c r="D343" s="501"/>
      <c r="E343" s="501"/>
      <c r="F343" s="501"/>
      <c r="G343" s="501"/>
      <c r="H343" s="501"/>
      <c r="I343" s="501"/>
      <c r="J343" s="502"/>
    </row>
    <row r="344" spans="1:10" ht="31.5" customHeight="1" x14ac:dyDescent="0.45">
      <c r="A344" s="121" t="s">
        <v>59</v>
      </c>
      <c r="B344" s="122">
        <f>'Project Summary'!$A19</f>
        <v>0</v>
      </c>
      <c r="C344" s="282" t="s">
        <v>146</v>
      </c>
      <c r="D344" s="283"/>
      <c r="E344" s="59" t="s">
        <v>236</v>
      </c>
      <c r="F344" s="121"/>
      <c r="G344" s="467"/>
      <c r="H344" s="468"/>
      <c r="I344" s="127" t="s">
        <v>95</v>
      </c>
      <c r="J344" s="123"/>
    </row>
    <row r="345" spans="1:10" ht="31.5" x14ac:dyDescent="0.45">
      <c r="A345" s="121" t="s">
        <v>201</v>
      </c>
      <c r="B345" s="122">
        <f>'Project Summary'!D19</f>
        <v>0</v>
      </c>
      <c r="C345" s="282" t="s">
        <v>60</v>
      </c>
      <c r="D345" s="284"/>
      <c r="E345" s="59" t="s">
        <v>237</v>
      </c>
      <c r="F345" s="124"/>
      <c r="G345" s="467"/>
      <c r="H345" s="468"/>
      <c r="I345" s="127" t="s">
        <v>96</v>
      </c>
      <c r="J345" s="123"/>
    </row>
    <row r="346" spans="1:10" ht="31.5" customHeight="1" x14ac:dyDescent="0.45">
      <c r="A346" s="121" t="s">
        <v>316</v>
      </c>
      <c r="B346" s="122">
        <f>'Functional Loss'!D18</f>
        <v>0</v>
      </c>
      <c r="C346" s="282" t="s">
        <v>94</v>
      </c>
      <c r="D346" s="284"/>
      <c r="E346" s="503" t="s">
        <v>346</v>
      </c>
      <c r="F346" s="504"/>
      <c r="G346" s="467"/>
      <c r="H346" s="468"/>
      <c r="I346" s="127" t="s">
        <v>97</v>
      </c>
      <c r="J346" s="123"/>
    </row>
    <row r="347" spans="1:10" ht="31.5" x14ac:dyDescent="0.45">
      <c r="A347" s="95" t="s">
        <v>392</v>
      </c>
      <c r="B347" s="122">
        <f>'Project Summary'!C19</f>
        <v>0</v>
      </c>
      <c r="C347" s="282" t="s">
        <v>73</v>
      </c>
      <c r="D347" s="284"/>
      <c r="E347" s="59" t="s">
        <v>147</v>
      </c>
      <c r="F347" s="126"/>
      <c r="G347" s="467"/>
      <c r="H347" s="468"/>
      <c r="I347" s="127" t="s">
        <v>98</v>
      </c>
      <c r="J347" s="123"/>
    </row>
    <row r="348" spans="1:10" ht="31.5" customHeight="1" x14ac:dyDescent="0.45">
      <c r="A348" s="59" t="s">
        <v>148</v>
      </c>
      <c r="B348" s="122">
        <f>'Project Summary'!B19</f>
        <v>0</v>
      </c>
      <c r="C348" s="282" t="s">
        <v>396</v>
      </c>
      <c r="D348" s="123"/>
      <c r="E348" s="472" t="s">
        <v>355</v>
      </c>
      <c r="F348" s="472"/>
      <c r="G348" s="467"/>
      <c r="H348" s="468"/>
      <c r="I348" s="121" t="s">
        <v>226</v>
      </c>
      <c r="J348" s="197"/>
    </row>
    <row r="349" spans="1:10" ht="28.5" customHeight="1" x14ac:dyDescent="0.65">
      <c r="A349" s="473" t="s">
        <v>39</v>
      </c>
      <c r="B349" s="473"/>
      <c r="C349" s="473"/>
      <c r="D349" s="473"/>
      <c r="E349" s="473"/>
      <c r="F349" s="473"/>
      <c r="G349" s="336" t="s">
        <v>348</v>
      </c>
      <c r="H349" s="336"/>
      <c r="I349" s="336"/>
      <c r="J349" s="336"/>
    </row>
    <row r="350" spans="1:10" ht="15.75" x14ac:dyDescent="0.5">
      <c r="A350" s="12" t="s">
        <v>1</v>
      </c>
      <c r="B350" s="12" t="s">
        <v>166</v>
      </c>
      <c r="C350" s="474" t="s">
        <v>165</v>
      </c>
      <c r="D350" s="475"/>
      <c r="E350" s="12" t="s">
        <v>8</v>
      </c>
      <c r="F350" s="171" t="s">
        <v>9</v>
      </c>
      <c r="G350" s="12" t="s">
        <v>10</v>
      </c>
      <c r="H350" s="12" t="s">
        <v>11</v>
      </c>
      <c r="I350" s="28" t="s">
        <v>11</v>
      </c>
      <c r="J350" s="12" t="s">
        <v>82</v>
      </c>
    </row>
    <row r="351" spans="1:10" ht="15.95" customHeight="1" x14ac:dyDescent="0.5">
      <c r="A351" s="492" t="s">
        <v>42</v>
      </c>
      <c r="B351" s="494" t="s">
        <v>65</v>
      </c>
      <c r="C351" s="166" t="s">
        <v>181</v>
      </c>
      <c r="D351" s="102"/>
      <c r="E351" s="11"/>
      <c r="F351" s="110" t="str">
        <f>IF(E351="","",IF(E351&gt;78,0,IF(E351&lt;55,1,ROUND(E351*'Reference Curves'!$B$6+'Reference Curves'!$B$7,2))))</f>
        <v/>
      </c>
      <c r="G351" s="454" cm="1">
        <f t="array" ref="G351">IF(OR(F351&lt;&gt;"",F352&lt;&gt;""),AVERAGE(F351:F352),_xlfn.IFS(B345="Secondary",'Functional Loss'!$H$26,B345="Tertiary",'Functional Loss'!$H$28,TRUE,'Functional Loss'!$H$23))</f>
        <v>1</v>
      </c>
      <c r="H351" s="496">
        <f>IFERROR(ROUND(AVERAGE(G351),2),"")</f>
        <v>1</v>
      </c>
      <c r="I351" s="498" t="str">
        <f>IF(H351="","",IF(H351&gt;0.69,"Functioning",IF(H351&gt;0.29,"Functioning At Risk",IF(H351&gt;-1,"Not Functioning"))))</f>
        <v>Functioning</v>
      </c>
      <c r="J351" s="482">
        <f>IF(AND(H351="",H353="",H356="",H372="",H378=""),"",ROUND((IF(H351="",0,H351)*0.2)+(IF(H353="",0,H353)*0.2)+(IF(H356="",0,H356)*0.2)+(IF(H372="",0,H372)*0.2)+(IF(H378="",0,H378)*0.2),2))</f>
        <v>1</v>
      </c>
    </row>
    <row r="352" spans="1:10" ht="15.95" customHeight="1" x14ac:dyDescent="0.5">
      <c r="A352" s="493"/>
      <c r="B352" s="495"/>
      <c r="C352" s="167" t="s">
        <v>143</v>
      </c>
      <c r="D352" s="103"/>
      <c r="E352" s="15"/>
      <c r="F352" s="111" t="str">
        <f>IF(E352="","",IF(E352&gt;3.33,0,IF(E352=0,1,ROUND(E352*'Reference Curves'!$B$10+'Reference Curves'!$B$11,2))))</f>
        <v/>
      </c>
      <c r="G352" s="455"/>
      <c r="H352" s="497"/>
      <c r="I352" s="498"/>
      <c r="J352" s="483"/>
    </row>
    <row r="353" spans="1:10" ht="15.95" customHeight="1" x14ac:dyDescent="0.5">
      <c r="A353" s="499" t="s">
        <v>2</v>
      </c>
      <c r="B353" s="452" t="s">
        <v>3</v>
      </c>
      <c r="C353" s="104" t="s">
        <v>182</v>
      </c>
      <c r="D353" s="104"/>
      <c r="E353" s="14"/>
      <c r="F353" s="60" t="str">
        <f>IF(E353="","",ROUND(IF(OR(E353&gt;1.71,E353&lt;0.34),0,IF(E353&lt;=1,1,E353*'Reference Curves'!$D$5+'Reference Curves'!$D$6)),2))</f>
        <v/>
      </c>
      <c r="G353" s="454" cm="1">
        <f t="array" ref="G353">IF(OR(F353&lt;&gt;"",F354&lt;&gt;""),AVERAGE(F353:F354), _xlfn.IFS(B345="Secondary",'Functional Loss'!$H$26,B345="Tertiary", 'Functional Loss'!$H$28, TRUE, 'Functional Loss'!$H$23))</f>
        <v>1</v>
      </c>
      <c r="H353" s="456">
        <f>IFERROR(ROUND(AVERAGE(G353:G355),2),"")</f>
        <v>1</v>
      </c>
      <c r="I353" s="459" t="str">
        <f>IF(H353="","",IF(H353&gt;0.69,"Functioning",IF(H353&gt;0.29,"Functioning At Risk",IF(H353&gt;-1,"Not Functioning"))))</f>
        <v>Functioning</v>
      </c>
      <c r="J353" s="483"/>
    </row>
    <row r="354" spans="1:10" ht="15.95" customHeight="1" x14ac:dyDescent="0.5">
      <c r="A354" s="452"/>
      <c r="B354" s="453"/>
      <c r="C354" s="105" t="s">
        <v>183</v>
      </c>
      <c r="D354" s="105"/>
      <c r="E354" s="15"/>
      <c r="F354" s="112" t="str">
        <f>IF(E354="","",
IF(LEFT($D346,1)="C",
ROUND(IF(E354&gt;=7.3,1,
IF(E354&lt;=1,0,
IF(E354&lt;=2.2, E354*'Reference Curves'!$D$10+'Reference Curves'!$D$11, E354*'Reference Curves'!$E$10+'Reference Curves'!$E$11))),2),
IF(LEFT($D346,1)="B",
ROUND(IF(E354&gt;=2,1,
IF(E354&lt;=1,0,
IF(E354&lt;=1.4,E354*'Reference Curves'!$D$20+'Reference Curves'!$D$21,E354*'Reference Curves'!$E$20+'Reference Curves'!$E$21))),2), IF(OR(LEFT($D346,1)="E"), ROUND(IF(E354&gt;=10,1,
IF(E354&lt;=1,0,
IF(E354&lt;=2.2,  E354*'Reference Curves'!$D$15+'Reference Curves'!$D$16,
E354*'Reference Curves'!$E$15+'Reference Curves'!$E$16))),2)))))</f>
        <v/>
      </c>
      <c r="G354" s="455"/>
      <c r="H354" s="457"/>
      <c r="I354" s="460"/>
      <c r="J354" s="483"/>
    </row>
    <row r="355" spans="1:10" ht="15.95" customHeight="1" x14ac:dyDescent="0.5">
      <c r="A355" s="453"/>
      <c r="B355" s="248" t="s">
        <v>184</v>
      </c>
      <c r="C355" s="104" t="s">
        <v>185</v>
      </c>
      <c r="D355" s="104"/>
      <c r="E355" s="14"/>
      <c r="F355" s="60" t="str">
        <f>IF(E355="","",(IF(E355&gt;=1.8,0,  IF(E355=1,1,ROUND(IF(E355&gt;1,E355*'Reference Curves'!$E$25+'Reference Curves'!$E$26, IF(E353&gt;1.2, IF(E355&lt;=0.2,0,E355*'Reference Curves'!$D$25+'Reference Curves'!$D$26),1)),2)))))</f>
        <v/>
      </c>
      <c r="G355" s="120" cm="1">
        <f t="array" ref="G355">IF(OR(D346="D",D346="DA"),"",IF(F355&lt;&gt;"",IFERROR(AVERAGE(F355),""),_xlfn.IFS(B345="Secondary",'Functional Loss'!$H$26, B345="Tertiary", 'Functional Loss'!$H$28, TRUE, 'Functional Loss'!$H$23)))</f>
        <v>1</v>
      </c>
      <c r="H355" s="458"/>
      <c r="I355" s="461"/>
      <c r="J355" s="483"/>
    </row>
    <row r="356" spans="1:10" ht="15.95" customHeight="1" x14ac:dyDescent="0.5">
      <c r="A356" s="462" t="s">
        <v>14</v>
      </c>
      <c r="B356" s="462" t="s">
        <v>15</v>
      </c>
      <c r="C356" s="162" t="s">
        <v>13</v>
      </c>
      <c r="D356" s="163"/>
      <c r="E356" s="11"/>
      <c r="F356" s="113" t="str">
        <f>IF(E356="","",ROUND(IF(E356&gt;=731,1,IF(E356&lt;=0,0,IF(E356&lt;355,E356*'Reference Curves'!$G$6+'Reference Curves'!$G$7,E356*'Reference Curves'!$H$6+'Reference Curves'!$H$7))),2))</f>
        <v/>
      </c>
      <c r="G356" s="454" cm="1">
        <f t="array" ref="G356">IF(OR(F356&lt;&gt;"",F357&lt;&gt;""),AVERAGE(F356:F357), _xlfn.IFS(B345="Secondary",'Functional Loss'!$H$26,B345="Tertiary", 'Functional Loss'!$H$28, TRUE, 'Functional Loss'!$H$23))</f>
        <v>1</v>
      </c>
      <c r="H356" s="464">
        <f>IFERROR(ROUND(AVERAGE(G356:G371),2),"")</f>
        <v>1</v>
      </c>
      <c r="I356" s="459" t="str">
        <f>IF(H356="","",IF(H356&gt;0.69,"Functioning",IF(H356&gt;0.29,"Functioning At Risk",IF(H356&gt;-1,"Not Functioning"))))</f>
        <v>Functioning</v>
      </c>
      <c r="J356" s="483"/>
    </row>
    <row r="357" spans="1:10" ht="15.95" customHeight="1" x14ac:dyDescent="0.5">
      <c r="A357" s="469"/>
      <c r="B357" s="463"/>
      <c r="C357" s="160" t="s">
        <v>186</v>
      </c>
      <c r="D357" s="161"/>
      <c r="E357" s="15"/>
      <c r="F357" s="25" t="str">
        <f>IF(E357="","",ROUND(IF(E357&gt;=28,1,IF(E357&lt;16,E357*'Reference Curves'!$G$11+'Reference Curves'!$G$12,E357*'Reference Curves'!$H$11+'Reference Curves'!$H$12)),2))</f>
        <v/>
      </c>
      <c r="G357" s="455"/>
      <c r="H357" s="464"/>
      <c r="I357" s="460"/>
      <c r="J357" s="483"/>
    </row>
    <row r="358" spans="1:10" ht="15.95" customHeight="1" x14ac:dyDescent="0.5">
      <c r="A358" s="469"/>
      <c r="B358" s="469" t="s">
        <v>92</v>
      </c>
      <c r="C358" s="106" t="s">
        <v>187</v>
      </c>
      <c r="D358" s="106"/>
      <c r="E358" s="114"/>
      <c r="F358" s="24" t="str">
        <f>IF(E358="","",
ROUND(IF(E358&gt;=0.71,0,
IF(E358&lt;=0.1,1,
IF(E358&lt;=0.2,E358*'Reference Curves'!$I$16+'Reference Curves'!$I$17,
IF(E358&gt;=0.4,E358*'Reference Curves'!$G$16+'Reference Curves'!$G$17,
E358*'Reference Curves'!$H$16+'Reference Curves'!$H$17)))),2))</f>
        <v/>
      </c>
      <c r="G358" s="471" cm="1">
        <f t="array" ref="G358">IF(E361&gt;50,0,IF(OR(F358&lt;&gt;"",F359&lt;&gt;"",F360&lt;&gt;"",F361&lt;&gt;""),AVERAGE(F358:F361),_xlfn.IFS(B345="Secondary",'Functional Loss'!$H$26,B345="Tertiary",'Functional Loss'!$H$28,TRUE,'Functional Loss'!$H$23)))</f>
        <v>1</v>
      </c>
      <c r="H358" s="464"/>
      <c r="I358" s="460"/>
      <c r="J358" s="483"/>
    </row>
    <row r="359" spans="1:10" ht="15.95" customHeight="1" x14ac:dyDescent="0.5">
      <c r="A359" s="469"/>
      <c r="B359" s="469"/>
      <c r="C359" s="106" t="s">
        <v>36</v>
      </c>
      <c r="D359" s="106"/>
      <c r="E359" s="115"/>
      <c r="F359" s="8" t="str">
        <f>IF(E359="","",IF(OR(E359="Ex/VL",E359="VH/VL",E359="H/M",E359="H/L",E359="H/VL"),0.2, IF(OR(LEFT(E359,2)="Ex",E359="VH/Ex",E359="VH/VH", E359="VH/H"),0,IF(OR(E359="VH/M",E359="VH/L",E359="H/Ex", E359="H/VH", E359="H/H"),0.1, IF(OR(E359="M/Ex",E359="M/VH"),0.3, IF(E359="M/H",0.4, IF(E359="M/M",0.5, IF(OR(E359="M/L",E359="M/VL"),0.6, IF(E359="L/Ex",0.7, IF(OR(LEFT(E359,1)="L",LEFT(E359,2)="VL"),1))))))))))</f>
        <v/>
      </c>
      <c r="G359" s="471"/>
      <c r="H359" s="464"/>
      <c r="I359" s="460"/>
      <c r="J359" s="483"/>
    </row>
    <row r="360" spans="1:10" ht="15.95" customHeight="1" x14ac:dyDescent="0.5">
      <c r="A360" s="469"/>
      <c r="B360" s="469"/>
      <c r="C360" s="164" t="s">
        <v>48</v>
      </c>
      <c r="D360" s="106"/>
      <c r="E360" s="114"/>
      <c r="F360" s="8" t="str">
        <f>IF(E360="","",ROUND(IF(E360&gt;=50,0,IF(E360&lt;=5,1,IF(E360&gt;11,E360*'Reference Curves'!$G$21+'Reference Curves'!$G$22,E360*'Reference Curves'!$H$21+'Reference Curves'!$H$22))),2))</f>
        <v/>
      </c>
      <c r="G360" s="471"/>
      <c r="H360" s="464"/>
      <c r="I360" s="460"/>
      <c r="J360" s="483"/>
    </row>
    <row r="361" spans="1:10" ht="15.95" customHeight="1" x14ac:dyDescent="0.5">
      <c r="A361" s="469"/>
      <c r="B361" s="469"/>
      <c r="C361" s="107" t="s">
        <v>124</v>
      </c>
      <c r="D361" s="107"/>
      <c r="E361" s="16"/>
      <c r="F361" s="25" t="str">
        <f>IF(E361="","",ROUND(IF(E361&gt;=30,0,E361*'Reference Curves'!$G$25+'Reference Curves'!$G$26),2))</f>
        <v/>
      </c>
      <c r="G361" s="471"/>
      <c r="H361" s="464"/>
      <c r="I361" s="460"/>
      <c r="J361" s="483"/>
    </row>
    <row r="362" spans="1:10" ht="15.95" customHeight="1" x14ac:dyDescent="0.5">
      <c r="A362" s="469"/>
      <c r="B362" s="462" t="s">
        <v>37</v>
      </c>
      <c r="C362" s="108" t="s">
        <v>144</v>
      </c>
      <c r="D362" s="163"/>
      <c r="E362" s="58"/>
      <c r="F362" s="116" t="str">
        <f>IF(E362="","",
IF(AND($G345="Single Family Residential",$G344="&lt; 5 %"),
ROUND(IF(E362&lt;=0,0,IF(E362&gt;=300,1,IF(E362&gt;=50, E362*'Reference Curves'!$H$31 +'Reference Curves'!$H$32,
E362*'Reference Curves'!$G$31 +'Reference Curves'!$G$32))),2),
IF(AND($G345="Single Family Residential",$G344="5 - 20 %"),
ROUND(IF(E362&lt;=0,0,IF(E362&gt;=300,1,IF(E362&gt;=100,E362*'Reference Curves'!$J$31+'Reference Curves'!$J$32,
E362*'Reference Curves'!$I$31+'Reference Curves'!$I$32))),2),
IF(AND($G345="Single Family Residential",$G344="21 - 40 %"),
ROUND(IF(E362&lt;=0,0,IF(E362&gt;=300,1,IF(E362&gt;=150,E362*'Reference Curves'!$L$31+'Reference Curves'!$L$32,
E362*'Reference Curves'!$K$31+'Reference Curves'!$K$32))),2),
IF(AND($G345="Single Family Residential",$G344="&gt; 40 %"),
ROUND(IF(E362&lt;=0,0,IF(E362&gt;=300,1,IF(E362&gt;=200,E362*'Reference Curves'!$N$31+'Reference Curves'!$N$32,
E362*'Reference Curves'!$M$31+'Reference Curves'!$M$32))),2),                           IF(AND($G345="Multi-Family Residential",$G344="&lt; 5 %"),
ROUND(IF(E362&lt;=0,0,IF(E362&gt;=293,1,IF(E362&gt;=60,E362*'Reference Curves'!$H$37+'Reference Curves'!$H$38,
E362*'Reference Curves'!$G$37+'Reference Curves'!$G$38))),2),
IF(AND($G345="Multi-Family Residential",$G344="5 - 20 %"),
ROUND(IF(E362&lt;=0,0,IF(E362&gt;=293,1,IF(E362&gt;=120, E362*'Reference Curves'!$J$37+'Reference Curves'!$J$38,
E362*'Reference Curves'!$I$37+'Reference Curves'!$I$38))),2),
IF(AND($G345="Multi-Family Residential",$G344="21 - 40 %"),
ROUND(IF(E362&lt;=0,0,IF(E362&gt;=300,1, IF(E362&gt;=180, E362*'Reference Curves'!$L$37+'Reference Curves'!$L$38,
E362*'Reference Curves'!$K$37+'Reference Curves'!$K$38))),2),
IF(AND($G345="Multi-Family Residential",$G344="&gt; 40 %"),
ROUND(IF(E362&lt;=0,0,IF(E362&gt;=345,1,E362*'Reference Curves'!$M$37+'Reference Curves'!$M$38)),2),
IF(AND($G345="Commercial / Golf Course / Agriculture / Silviculture", $G344="&lt; 5 %"),
ROUND(IF(E362&lt;=0,0, IF(E362&gt;=300,1, IF(E362&gt;=150,E362*'Reference Curves'!$H$43+'Reference Curves'!$H$44,
E362*'Reference Curves'!$G$43+'Reference Curves'!$G$44))),2),
IF(AND($G345="Commercial / Golf Course / Agriculture / Silviculture", $G344="5 - 20 %"),
ROUND(IF(E362&lt;=0,0, IF(E362&gt;=300,1, IF(E362&gt;=150,E362*'Reference Curves'!$H$43+'Reference Curves'!$H$44,
E362*'Reference Curves'!$G$43+'Reference Curves'!$G$44))),2),
IF(AND($G345="Commercial / Golf Course / Agriculture / Silviculture",$G344="21 - 40 %"),
ROUND(IF(E362&lt;=0,0,IF(E362&gt;=322.5,1, E362*'Reference Curves'!$I$43+'Reference Curves'!$I$44)),2),
IF(AND($G345="Commercial / Golf Course / Agriculture / Silviculture",$G344="&gt; 40 %"),
ROUND(IF(E362&lt;=0,0,IF(E362&gt;=434.7,1,E362*'Reference Curves'!$J$43+'Reference Curves'!$J$44)),2),
                   IF(AND($G345="Industrial / Landfill", $G344="&lt; 5 %"),
ROUND(IF(E362&lt;=0,0,IF(E362&gt;=300,1,IF(E362&gt;=150, E362*'Reference Curves'!$H$49+'Reference Curves'!$H$50,
E362*'Reference Curves'!$G$49+'Reference Curves'!$G$50))),2),
IF(AND($G345="Industrial / Landfill", $G344="5 - 20 %"),
ROUND(IF(E362&lt;=0,0,IF(E362&gt;=357.1,1, E362*'Reference Curves'!$I$49+'Reference Curves'!$I$50)),2),
IF(AND($G345="Industrial / Landfill",$G344="21 - 40 %"),
ROUND(IF(E362&lt;=0,0,IF(E362&gt;=499.9,1, E362*'Reference Curves'!$J$49+'Reference Curves'!$J$50)),2)))))))))))))))))</f>
        <v/>
      </c>
      <c r="G362" s="454" cm="1">
        <f t="array" ref="G362">IF(OR(F362&lt;&gt;"",F363&lt;&gt;"",F364&lt;&gt;"",F365&lt;&gt;"", F366&lt;&gt;"",F367&lt;&gt;""),AVERAGE(F362:F367), _xlfn.IFS(B345="Secondary",'Functional Loss'!$H$26, B345="Tertiary", 'Functional Loss'!$H$28, TRUE, 'Functional Loss'!$H$23))</f>
        <v>1</v>
      </c>
      <c r="H362" s="464"/>
      <c r="I362" s="460"/>
      <c r="J362" s="483"/>
    </row>
    <row r="363" spans="1:10" ht="15.95" customHeight="1" x14ac:dyDescent="0.5">
      <c r="A363" s="469"/>
      <c r="B363" s="469"/>
      <c r="C363" s="106" t="s">
        <v>159</v>
      </c>
      <c r="D363" s="165"/>
      <c r="E363" s="32"/>
      <c r="F363" s="117" t="str">
        <f>IF(E363="","",ROUND(IF(E363&gt;=9.3,1,E363*'Reference Curves'!$G$53+'Reference Curves'!$G$54),2))</f>
        <v/>
      </c>
      <c r="G363" s="470"/>
      <c r="H363" s="464"/>
      <c r="I363" s="460"/>
      <c r="J363" s="483"/>
    </row>
    <row r="364" spans="1:10" ht="15.95" customHeight="1" x14ac:dyDescent="0.5">
      <c r="A364" s="469"/>
      <c r="B364" s="469"/>
      <c r="C364" s="106" t="s">
        <v>188</v>
      </c>
      <c r="D364" s="165"/>
      <c r="E364" s="32"/>
      <c r="F364" s="117" t="str">
        <f>IF(E364="","",ROUND(IF(AND(E364&gt;=135,E364&lt;=262),1,IF(E364&gt;=366,0.5,IF(E364&lt;135,E364*'Reference Curves'!$G$57+'Reference Curves'!$G$58,E364*'Reference Curves'!$H$57+'Reference Curves'!$H$58))),2))</f>
        <v/>
      </c>
      <c r="G364" s="470"/>
      <c r="H364" s="464"/>
      <c r="I364" s="460"/>
      <c r="J364" s="483"/>
    </row>
    <row r="365" spans="1:10" ht="15.95" customHeight="1" x14ac:dyDescent="0.5">
      <c r="A365" s="469"/>
      <c r="B365" s="469"/>
      <c r="C365" s="106" t="s">
        <v>189</v>
      </c>
      <c r="D365" s="165"/>
      <c r="E365" s="32"/>
      <c r="F365" s="117" t="str">
        <f>IF(E365="","",  IF($G$4="&lt; 20 %",ROUND(IF(E365&gt;=566,1,E365*'Reference Curves'!$G$61+'Reference Curves'!$G$62),2)))</f>
        <v/>
      </c>
      <c r="G365" s="470"/>
      <c r="H365" s="464"/>
      <c r="I365" s="460"/>
      <c r="J365" s="483"/>
    </row>
    <row r="366" spans="1:10" ht="15.95" customHeight="1" x14ac:dyDescent="0.5">
      <c r="A366" s="469"/>
      <c r="B366" s="469"/>
      <c r="C366" s="106" t="s">
        <v>145</v>
      </c>
      <c r="D366" s="165"/>
      <c r="E366" s="32"/>
      <c r="F366" s="117" t="str">
        <f>IF(E366="","", ROUND(IF(E366&gt;=75,1,E366*'Reference Curves'!$G$65+'Reference Curves'!$G$66),2))</f>
        <v/>
      </c>
      <c r="G366" s="470"/>
      <c r="H366" s="464"/>
      <c r="I366" s="460"/>
      <c r="J366" s="483"/>
    </row>
    <row r="367" spans="1:10" ht="15.95" customHeight="1" x14ac:dyDescent="0.5">
      <c r="A367" s="469"/>
      <c r="B367" s="469"/>
      <c r="C367" s="106" t="s">
        <v>190</v>
      </c>
      <c r="D367" s="165"/>
      <c r="E367" s="32"/>
      <c r="F367" s="117" t="str">
        <f>IF(E367="","",IF(E367&gt;=100,0,ROUND(IF(E367&lt;=0,1,E367*'Reference Curves'!$G$69+'Reference Curves'!$G$70),2)))</f>
        <v/>
      </c>
      <c r="G367" s="470"/>
      <c r="H367" s="464"/>
      <c r="I367" s="460"/>
      <c r="J367" s="483"/>
    </row>
    <row r="368" spans="1:10" s="48" customFormat="1" ht="15.95" customHeight="1" x14ac:dyDescent="0.5">
      <c r="A368" s="469"/>
      <c r="B368" s="463"/>
      <c r="C368" s="106" t="s">
        <v>191</v>
      </c>
      <c r="D368" s="165"/>
      <c r="E368" s="32"/>
      <c r="F368" s="117"/>
      <c r="G368" s="455"/>
      <c r="H368" s="464"/>
      <c r="I368" s="460"/>
      <c r="J368" s="483"/>
    </row>
    <row r="369" spans="1:10" ht="15.95" customHeight="1" x14ac:dyDescent="0.5">
      <c r="A369" s="469"/>
      <c r="B369" s="462" t="s">
        <v>38</v>
      </c>
      <c r="C369" s="108" t="s">
        <v>192</v>
      </c>
      <c r="D369" s="163"/>
      <c r="E369" s="11"/>
      <c r="F369" s="24" t="str">
        <f>IF(E369="","",
IF($D346="Bc", ROUND(IF(E369&lt;=5,1,
IF(E369&gt;=8,0,
IF(E369&lt;6,E369*'Reference Curves'!$G$79+'Reference Curves'!$G$80,E369*'Reference Curves'!$H$79+'Reference Curves'!$H$80))),2),       IF(OR(LEFT($D346,1)="B",LEFT($D346,1)="A"),
ROUND(IF(E369&lt;=4,1,
IF(E369&gt;=6.5,0,
IF(E369&lt;5,E369*'Reference Curves'!$G$74+'Reference Curves'!$G$75, E369*'Reference Curves'!$H$74+'Reference Curves'!$H$75))),2),   IF(OR(LEFT($D346,1)="E",LEFT($D346,1)="C"),
ROUND(IF(OR(E369&gt;=9,E369&lt;=1),0,
IF(AND(E369&gt;=3.5,E369&lt;=6),1,
IF(E369&lt;3.5,E369*'Reference Curves'!$G$84+'Reference Curves'!$G$85,
E369*'Reference Curves'!$H$84+'Reference Curves'!$H$85))),2)))))</f>
        <v/>
      </c>
      <c r="G369" s="454" cm="1">
        <f t="array" ref="G369">IF(OR(D346="D",D346="DA"),"",IF(OR(F369&lt;&gt;"",F370&lt;&gt;"",F371&lt;&gt;""),AVERAGE(F369:F371),_xlfn.IFS(B345="Secondary",'Functional Loss'!$H$26,B345="Tertiary",'Functional Loss'!$H$28,TRUE,'Functional Loss'!$H$23)))</f>
        <v>1</v>
      </c>
      <c r="H369" s="464"/>
      <c r="I369" s="460"/>
      <c r="J369" s="483"/>
    </row>
    <row r="370" spans="1:10" ht="15.95" customHeight="1" x14ac:dyDescent="0.5">
      <c r="A370" s="469"/>
      <c r="B370" s="469"/>
      <c r="C370" s="106" t="s">
        <v>193</v>
      </c>
      <c r="D370" s="165"/>
      <c r="E370" s="14"/>
      <c r="F370" s="8" t="str">
        <f>IF(E370="","",IF(LEFT($D346,1)="A",
IF(E370&gt;=1.7,1,
IF(E370&lt;=1,0,
ROUND(IF(E370&lt;=1.1,'Reference Curves'!$G$89+'Reference Curves'!$G$90,
(IF(E370&gt;=1.4,E370*'Reference Curves'!$I$89+'Reference Curves'!$I$90,
E370*'Reference Curves'!$H$89+'Reference Curves'!$H$90))),2))),            IF(LEFT($D346,1)="B",
IF(E370&gt;=2.9,1,
IF(E370&lt;=1,0,
ROUND(IF(E370&lt;=2,E370*'Reference Curves'!$G$94+'Reference Curves'!$G$95,
(IF(E370&gt;=2.3,E370*'Reference Curves'!$I$94+'Reference Curves'!$I$95,
E370*'Reference Curves'!$H$94+'Reference Curves'!$H$95))),2))),     IF(LEFT($D346,1)="C",
IF(E370&gt;=2.3,1,
IF(E370&lt;=1,0,
ROUND(IF(E370&lt;=1.2,E370*'Reference Curves'!$G$99+'Reference Curves'!$G$100,
IF(E370&gt;=1.9, E370*'Reference Curves'!$I$99+'Reference Curves'!$I$100,
E370*'Reference Curves'!$H$99+'Reference Curves'!$H$100)),2))),          IF(LEFT($D346,1)="E",
IF(E370&gt;=2.1,1,
IF(E370&lt;=1,0,
ROUND(IF(E370&gt;=1.7, E370*'Reference Curves'!$I$104+'Reference Curves'!$I$105, IF(E370&lt;=1.4,
E370*'Reference Curves'!$G$104+'Reference Curves'!$G$105,E370*'Reference Curves'!$H$104+'Reference Curves'!$H$105)),2))))))))</f>
        <v/>
      </c>
      <c r="G370" s="470"/>
      <c r="H370" s="464"/>
      <c r="I370" s="460"/>
      <c r="J370" s="483"/>
    </row>
    <row r="371" spans="1:10" ht="15.95" customHeight="1" x14ac:dyDescent="0.5">
      <c r="A371" s="469"/>
      <c r="B371" s="463"/>
      <c r="C371" s="109" t="s">
        <v>80</v>
      </c>
      <c r="D371" s="161"/>
      <c r="E371" s="14"/>
      <c r="F371" s="118" t="str">
        <f>IF(E371="","",IF(OR(LEFT($D346,1)="F",LEFT($D346,1)="G",LEFT($D346,1)="D"),"FALSE",
IF(LEFT($D346,1)="A",
ROUND(IF(OR(E371&gt;=100,E371&lt;=0),0,IF(E371&lt;=54,E371*'Reference Curves'!$G$109+'Reference Curves'!$G$110,
IF(E371&gt;=62,E371*'Reference Curves'!$H$109+'Reference Curves'!$H$110,1))),2),IF(LEFT($D346,1)="B",
ROUND(IF(OR(E371&gt;=100,E371&lt;=0),0,IF(E371&lt;=53,E371*'Reference Curves'!$G$114+'Reference Curves'!$G$115,
IF(E371&gt;=61,E371*'Reference Curves'!$H$114+'Reference Curves'!$H$115,1))),2),
IF(LEFT($D346,1)="C",
ROUND(IF(OR(E371&gt;=100,E371&lt;=0),0,
IF(E371&lt;45,E371*'Reference Curves'!$G$119+'Reference Curves'!$G$120,
IF(E371&gt;=64,E371*'Reference Curves'!$H$119+'Reference Curves'!$H$120,1))),2),
IF(LEFT($D346,1)="E",
ROUND(IF(OR(E371&gt;=100,E371&lt;=0),0,
IF(E371&lt;43,E371*'Reference Curves'!$G$124+'Reference Curves'!$G$125,
IF(E371&gt;=63,E371*'Reference Curves'!$H$124+'Reference Curves'!$H$125,1))),2),))))))</f>
        <v/>
      </c>
      <c r="G371" s="470"/>
      <c r="H371" s="464"/>
      <c r="I371" s="461"/>
      <c r="J371" s="483"/>
    </row>
    <row r="372" spans="1:10" ht="15.95" customHeight="1" x14ac:dyDescent="0.5">
      <c r="A372" s="485" t="s">
        <v>40</v>
      </c>
      <c r="B372" s="249" t="s">
        <v>103</v>
      </c>
      <c r="C372" s="267" t="s">
        <v>235</v>
      </c>
      <c r="D372" s="98"/>
      <c r="E372" s="26"/>
      <c r="F372" s="119" t="str">
        <f>IF(E372="","",IF($G347="Coldwater",IF(E372&gt;=77,0,IF(E372&lt;=58.04,1,ROUND(E372*'Reference Curves'!$P$6+'Reference Curves'!$P$7,2)))))</f>
        <v/>
      </c>
      <c r="G372" s="120" cm="1">
        <f t="array" ref="G372">IF(G347="Warmwater","", IF(F372&lt;&gt;"",AVERAGE(F372),_xlfn.IFS(B345="Secondary",'Functional Loss'!$H$26,B345="Tertiary",'Functional Loss'!$H$28,TRUE,'Functional Loss'!$H$23)))</f>
        <v>1</v>
      </c>
      <c r="H372" s="465">
        <f>IFERROR(ROUND(AVERAGE(G372:G377),2),"")</f>
        <v>1</v>
      </c>
      <c r="I372" s="480" t="str">
        <f>IF(H372="","",IF(H372&gt;0.69,"Functioning",IF(H372&gt;0.29,"Functioning At Risk",IF(H372&gt;-1,"Not Functioning"))))</f>
        <v>Functioning</v>
      </c>
      <c r="J372" s="483"/>
    </row>
    <row r="373" spans="1:10" ht="15.95" customHeight="1" x14ac:dyDescent="0.5">
      <c r="A373" s="486"/>
      <c r="B373" s="81" t="s">
        <v>127</v>
      </c>
      <c r="C373" s="268" t="s">
        <v>370</v>
      </c>
      <c r="D373" s="99"/>
      <c r="E373" s="26"/>
      <c r="F373" s="119" t="str">
        <f>IF(E373="","",
ROUND(IF(E373&gt;='Reference Curves'!$P$16,0,
IF(E373&lt;=35,1,
IF(E373&gt;=121,E373*'Reference Curves'!$P$11+'Reference Curves'!$P$12,
E373*'Reference Curves'!$Q$11+'Reference Curves'!$Q$12))),2))</f>
        <v/>
      </c>
      <c r="G373" s="119" cm="1">
        <f t="array" ref="G373">IF(F373&lt;&gt;"",AVERAGE(F373),_xlfn.IFS(B345="Secondary",'Functional Loss'!$H$26,B345="Tertiary", 'Functional Loss'!$H$28, TRUE, 'Functional Loss'!$H$23))</f>
        <v>1</v>
      </c>
      <c r="H373" s="488"/>
      <c r="I373" s="489"/>
      <c r="J373" s="483"/>
    </row>
    <row r="374" spans="1:10" ht="15.95" customHeight="1" x14ac:dyDescent="0.5">
      <c r="A374" s="486"/>
      <c r="B374" s="100" t="s">
        <v>196</v>
      </c>
      <c r="C374" s="100" t="s">
        <v>197</v>
      </c>
      <c r="D374" s="101"/>
      <c r="E374" s="14"/>
      <c r="F374" s="119" t="str">
        <f>IF(E374="","",
IF(E374&gt;=2.3,0,
IF(E374&lt;=0.4,1,
ROUND(IF(E374&lt;0.8,E374*'Reference Curves'!$Q$21+'Reference Curves'!$Q$22,E374*'Reference Curves'!$P$21+'Reference Curves'!$P$22),2))))</f>
        <v/>
      </c>
      <c r="G374" s="119" cm="1">
        <f t="array" ref="G374">IF(F374&lt;&gt;"",AVERAGE(F374),_xlfn.IFS(B345="Secondary",'Functional Loss'!$H$26, B345="Tertiary", 'Functional Loss'!$H$28, TRUE, 'Functional Loss'!$H$23))</f>
        <v>1</v>
      </c>
      <c r="H374" s="488"/>
      <c r="I374" s="489"/>
      <c r="J374" s="483"/>
    </row>
    <row r="375" spans="1:10" ht="15.95" customHeight="1" x14ac:dyDescent="0.5">
      <c r="A375" s="486"/>
      <c r="B375" s="100" t="s">
        <v>198</v>
      </c>
      <c r="C375" s="263" t="s">
        <v>199</v>
      </c>
      <c r="D375" s="269"/>
      <c r="E375" s="11"/>
      <c r="F375" s="119" t="str">
        <f>IF(E375="","",
IF(E375&gt;=0.2,0,
IF(E375&lt;=0.04,1,
ROUND(IF(E375&lt;0.08,E375*'Reference Curves'!$Q$26+'Reference Curves'!$Q$27,
E375*'Reference Curves'!$P$26+'Reference Curves'!$P$27),2))))</f>
        <v/>
      </c>
      <c r="G375" s="119" cm="1">
        <f t="array" ref="G375">IF(F375&lt;&gt;"",AVERAGE(F375),_xlfn.IFS(B345="Secondary",'Functional Loss'!$H$26, B345="Tertiary", 'Functional Loss'!$H$28, TRUE, 'Functional Loss'!$H$23))</f>
        <v>1</v>
      </c>
      <c r="H375" s="488"/>
      <c r="I375" s="489"/>
      <c r="J375" s="483"/>
    </row>
    <row r="376" spans="1:10" ht="15.95" customHeight="1" x14ac:dyDescent="0.5">
      <c r="A376" s="486"/>
      <c r="B376" s="490" t="s">
        <v>371</v>
      </c>
      <c r="C376" s="263" t="s">
        <v>372</v>
      </c>
      <c r="D376" s="270"/>
      <c r="E376" s="271"/>
      <c r="F376" s="119" t="str">
        <f>IF(E376="","",
IF(E376&gt;=100,0,
IF(E376&lt;=10,1,
ROUND(IF(E376&lt;50,E376*'Reference Curves'!$Q$32+'Reference Curves'!$Q$33,
E376*'Reference Curves'!$P$32+'Reference Curves'!$P$33),2)
)))</f>
        <v/>
      </c>
      <c r="G376" s="465" cm="1">
        <f t="array" ref="G376">IF(OR(F376&lt;&gt;"",F377&lt;&gt;""),AVERAGE(F376:F377), _xlfn.IFS(B345="Secondary",'Functional Loss'!$H$26,B345="Tertiary", 'Functional Loss'!$H$28, TRUE, 'Functional Loss'!$H$23))</f>
        <v>1</v>
      </c>
      <c r="H376" s="488"/>
      <c r="I376" s="489"/>
      <c r="J376" s="483"/>
    </row>
    <row r="377" spans="1:10" ht="15.95" customHeight="1" x14ac:dyDescent="0.5">
      <c r="A377" s="487"/>
      <c r="B377" s="491"/>
      <c r="C377" s="266" t="s">
        <v>373</v>
      </c>
      <c r="D377" s="264"/>
      <c r="E377" s="16"/>
      <c r="F377" s="265" t="str">
        <f>IF(E377="","",
IF(E377&gt;=100,0,
IF(E377&lt;=10,1,
ROUND(IF(E377&lt;50,E377*'Reference Curves'!$Q$32+'Reference Curves'!$Q$33,
E377*'Reference Curves'!$P$32+'Reference Curves'!$P$33),2)
)))</f>
        <v/>
      </c>
      <c r="G377" s="466"/>
      <c r="H377" s="466"/>
      <c r="I377" s="481"/>
      <c r="J377" s="483"/>
    </row>
    <row r="378" spans="1:10" ht="15.95" customHeight="1" x14ac:dyDescent="0.5">
      <c r="A378" s="476" t="s">
        <v>41</v>
      </c>
      <c r="B378" s="211" t="s">
        <v>81</v>
      </c>
      <c r="C378" s="56" t="s">
        <v>200</v>
      </c>
      <c r="D378" s="57"/>
      <c r="E378" s="273"/>
      <c r="F378" s="274" t="str">
        <f>IF(E378="","",
IF($D344="Blue Ridge Mountains",
ROUND(IF(E378&lt;=0,0,
IF(E378&gt;=36,1,
IF(E378&lt;=19,E378*'Reference Curves'!$S$6+'Reference Curves'!$S$7,
IF(E378&gt;=28, E378*'Reference Curves'!$U$6+'Reference Curves'!$U$7,
E378*'Reference Curves'!$T$6+'Reference Curves'!$T$7 )))),2),
IF($D344="Piedmont",
ROUND(IF(E378&lt;=0,0,
IF(E378&gt;=28,1,
IF(E378&lt;=14,E378*'Reference Curves'!$S$11+'Reference Curves'!$S$12,
IF(E378&gt;=21, E378*'Reference Curves'!$U$11+'Reference Curves'!$U$12,
E378*'Reference Curves'!$T$11+'Reference Curves'!$T$12)))),2),
IF(OR($D344="Southeastern Plains",$D344="Middle Atlantic Coastal Plain"),
ROUND(IF(E378&lt;=0,0,
IF(E378&gt;=15,1,
IF(E378&lt;=5, E378*'Reference Curves'!$S$16+'Reference Curves'!$S$17,
IF(E378&gt;=10,E378*'Reference Curves'!$U$16+'Reference Curves'!$U$17,
E378*'Reference Curves'!$T$16+'Reference Curves'!$T$17)))),2)))))</f>
        <v/>
      </c>
      <c r="G378" s="272" cm="1">
        <f t="array" ref="G378">IF(F378&lt;&gt;"",AVERAGE(F378),_xlfn.IFS(B345="Secondary",'Functional Loss'!$H$26, B345="Tertiary", 'Functional Loss'!$H$28, TRUE, 'Functional Loss'!$H$23))</f>
        <v>1</v>
      </c>
      <c r="H378" s="478">
        <f>IFERROR(ROUND(AVERAGE(G378:G379),2),"")</f>
        <v>1</v>
      </c>
      <c r="I378" s="480" t="str">
        <f>IF(H378="","",IF(H378&gt;0.69,"Functioning",IF(H378&gt;0.29,"Functioning At Risk",IF(H378&gt;-1,"Not Functioning"))))</f>
        <v>Functioning</v>
      </c>
      <c r="J378" s="483"/>
    </row>
    <row r="379" spans="1:10" ht="15.95" customHeight="1" x14ac:dyDescent="0.5">
      <c r="A379" s="477"/>
      <c r="B379" s="211" t="s">
        <v>45</v>
      </c>
      <c r="C379" s="57" t="s">
        <v>374</v>
      </c>
      <c r="D379" s="57"/>
      <c r="E379" s="275"/>
      <c r="F379" s="210" t="str">
        <f>IF(E379="","",
IF($G348="1 - Upland Santee/Pee-Dee Basin",
IF(E379&lt;-1,0,
IF(E379&gt;1,1,
ROUND(IF(E379&gt;=0.05,E379*'Reference Curves'!$T$21+'Reference Curves'!$T$22,
E379*'Reference Curves'!$S$21+'Reference Curves'!$S$22),2))),
IF($G348="2 - Upland Savannah",
IF(E379&lt;-1,0,
IF(E379&gt;1,1,
ROUND(IF(E379&gt;=0.002,E379*'Reference Curves'!$T$26+'Reference Curves'!$T$27,
E379*'Reference Curves'!$S$26+'Reference Curves'!$S$27),2))),
IF($G348="3 - Lowland Perennial",
IF(E379&lt;-1,0,
IF(E379&gt;1,1,
ROUND(IF(E379&gt;=0.005,E379*'Reference Curves'!$T$31+'Reference Curves'!$T$32,
E379*'Reference Curves'!$S$31+'Reference Curves'!$S$32),2))),
IF($G348="4 - Lowland Stable Baseflow",
IF(E379&lt;-1,0,
IF(E379&gt;1,1,
ROUND(IF(E379&gt;=0.3,E379*'Reference Curves'!$T$36+'Reference Curves'!$T$37,
E379*'Reference Curves'!$S$36+'Reference Curves'!$S$37),2))))))))</f>
        <v/>
      </c>
      <c r="G379" s="120" cm="1">
        <f t="array" ref="G379">IF(F379&lt;&gt;"",AVERAGE(F379),_xlfn.IFS(B345="Secondary",'Functional Loss'!$H$26, B345="Tertiary", 'Functional Loss'!$H$28, TRUE, 'Functional Loss'!$H$23))</f>
        <v>1</v>
      </c>
      <c r="H379" s="479"/>
      <c r="I379" s="481"/>
      <c r="J379" s="484"/>
    </row>
  </sheetData>
  <sheetProtection algorithmName="SHA-512" hashValue="OUYTpjpTOneqOzx+LkoSC9EDK1NhHNIa8KsJISa5sWu/QcIzOLPY9WiV4BHEVHbH2jV6H5UUzKyTbYtTTXeKDg==" saltValue="h6Lq2nOS1Uu3pE4jexy1sQ==" spinCount="100000" sheet="1" formatColumns="0" formatRows="0"/>
  <dataConsolidate/>
  <mergeCells count="410">
    <mergeCell ref="I356:I371"/>
    <mergeCell ref="B362:B368"/>
    <mergeCell ref="G362:G368"/>
    <mergeCell ref="A356:A371"/>
    <mergeCell ref="B356:B357"/>
    <mergeCell ref="G356:G357"/>
    <mergeCell ref="H356:H371"/>
    <mergeCell ref="B358:B361"/>
    <mergeCell ref="G358:G361"/>
    <mergeCell ref="B369:B371"/>
    <mergeCell ref="G369:G371"/>
    <mergeCell ref="I318:I333"/>
    <mergeCell ref="G324:G330"/>
    <mergeCell ref="B324:B330"/>
    <mergeCell ref="E348:F348"/>
    <mergeCell ref="G348:H348"/>
    <mergeCell ref="A349:F349"/>
    <mergeCell ref="G349:J349"/>
    <mergeCell ref="A318:A333"/>
    <mergeCell ref="B318:B319"/>
    <mergeCell ref="G318:G319"/>
    <mergeCell ref="H318:H333"/>
    <mergeCell ref="B320:B323"/>
    <mergeCell ref="G320:G323"/>
    <mergeCell ref="B331:B333"/>
    <mergeCell ref="G331:G333"/>
    <mergeCell ref="J313:J341"/>
    <mergeCell ref="A334:A339"/>
    <mergeCell ref="H334:H339"/>
    <mergeCell ref="I334:I339"/>
    <mergeCell ref="B338:B339"/>
    <mergeCell ref="A315:A317"/>
    <mergeCell ref="B315:B316"/>
    <mergeCell ref="G315:G316"/>
    <mergeCell ref="H315:H317"/>
    <mergeCell ref="A313:A314"/>
    <mergeCell ref="A273:F273"/>
    <mergeCell ref="G273:J273"/>
    <mergeCell ref="C274:D274"/>
    <mergeCell ref="A275:A276"/>
    <mergeCell ref="B275:B276"/>
    <mergeCell ref="G275:G276"/>
    <mergeCell ref="H275:H276"/>
    <mergeCell ref="I275:I276"/>
    <mergeCell ref="A277:A279"/>
    <mergeCell ref="B277:B278"/>
    <mergeCell ref="G277:G278"/>
    <mergeCell ref="H277:H279"/>
    <mergeCell ref="I277:I279"/>
    <mergeCell ref="J275:J303"/>
    <mergeCell ref="G280:G281"/>
    <mergeCell ref="H280:H295"/>
    <mergeCell ref="B282:B285"/>
    <mergeCell ref="A280:A295"/>
    <mergeCell ref="B280:B281"/>
    <mergeCell ref="H237:H238"/>
    <mergeCell ref="I237:I238"/>
    <mergeCell ref="A239:A241"/>
    <mergeCell ref="E272:F272"/>
    <mergeCell ref="G272:H272"/>
    <mergeCell ref="A267:J267"/>
    <mergeCell ref="G268:H268"/>
    <mergeCell ref="G269:H269"/>
    <mergeCell ref="E270:F270"/>
    <mergeCell ref="G270:H270"/>
    <mergeCell ref="G271:H271"/>
    <mergeCell ref="B244:B247"/>
    <mergeCell ref="G244:G247"/>
    <mergeCell ref="G233:H233"/>
    <mergeCell ref="E234:F234"/>
    <mergeCell ref="G234:H234"/>
    <mergeCell ref="A229:J229"/>
    <mergeCell ref="G230:H230"/>
    <mergeCell ref="G231:H231"/>
    <mergeCell ref="J237:J265"/>
    <mergeCell ref="A258:A263"/>
    <mergeCell ref="H258:H263"/>
    <mergeCell ref="I258:I263"/>
    <mergeCell ref="B262:B263"/>
    <mergeCell ref="G262:G263"/>
    <mergeCell ref="A264:A265"/>
    <mergeCell ref="H264:H265"/>
    <mergeCell ref="I264:I265"/>
    <mergeCell ref="G239:G240"/>
    <mergeCell ref="H239:H241"/>
    <mergeCell ref="I239:I241"/>
    <mergeCell ref="A242:A257"/>
    <mergeCell ref="A235:F235"/>
    <mergeCell ref="G235:J235"/>
    <mergeCell ref="C236:D236"/>
    <mergeCell ref="A237:A238"/>
    <mergeCell ref="B237:B238"/>
    <mergeCell ref="J199:J227"/>
    <mergeCell ref="E308:F308"/>
    <mergeCell ref="G308:H308"/>
    <mergeCell ref="B313:B314"/>
    <mergeCell ref="G313:G314"/>
    <mergeCell ref="H313:H314"/>
    <mergeCell ref="A296:A301"/>
    <mergeCell ref="H296:H301"/>
    <mergeCell ref="I296:I301"/>
    <mergeCell ref="B300:B301"/>
    <mergeCell ref="G300:G301"/>
    <mergeCell ref="A302:A303"/>
    <mergeCell ref="H302:H303"/>
    <mergeCell ref="I302:I303"/>
    <mergeCell ref="I313:I314"/>
    <mergeCell ref="G309:H309"/>
    <mergeCell ref="A305:J305"/>
    <mergeCell ref="G306:H306"/>
    <mergeCell ref="G307:H307"/>
    <mergeCell ref="B255:B257"/>
    <mergeCell ref="G255:G257"/>
    <mergeCell ref="G237:G238"/>
    <mergeCell ref="E232:F232"/>
    <mergeCell ref="G232:H232"/>
    <mergeCell ref="B54:B57"/>
    <mergeCell ref="G54:G57"/>
    <mergeCell ref="E44:F44"/>
    <mergeCell ref="G44:H44"/>
    <mergeCell ref="H49:H51"/>
    <mergeCell ref="A197:F197"/>
    <mergeCell ref="G197:J197"/>
    <mergeCell ref="C198:D198"/>
    <mergeCell ref="I204:I219"/>
    <mergeCell ref="B168:B171"/>
    <mergeCell ref="G168:G171"/>
    <mergeCell ref="B179:B181"/>
    <mergeCell ref="G179:G181"/>
    <mergeCell ref="I166:I181"/>
    <mergeCell ref="A166:A181"/>
    <mergeCell ref="B166:B167"/>
    <mergeCell ref="H166:H181"/>
    <mergeCell ref="G199:G200"/>
    <mergeCell ref="H199:H200"/>
    <mergeCell ref="I199:I200"/>
    <mergeCell ref="A201:A203"/>
    <mergeCell ref="B201:B202"/>
    <mergeCell ref="G201:G202"/>
    <mergeCell ref="H201:H203"/>
    <mergeCell ref="I36:I37"/>
    <mergeCell ref="J9:J37"/>
    <mergeCell ref="G11:G12"/>
    <mergeCell ref="I14:I29"/>
    <mergeCell ref="A36:A37"/>
    <mergeCell ref="C46:D46"/>
    <mergeCell ref="A47:A48"/>
    <mergeCell ref="B47:B48"/>
    <mergeCell ref="G196:H196"/>
    <mergeCell ref="G141:G143"/>
    <mergeCell ref="G103:G105"/>
    <mergeCell ref="H14:H29"/>
    <mergeCell ref="B16:B19"/>
    <mergeCell ref="G16:G19"/>
    <mergeCell ref="B27:B29"/>
    <mergeCell ref="G27:G29"/>
    <mergeCell ref="G40:H40"/>
    <mergeCell ref="G41:H41"/>
    <mergeCell ref="E42:F42"/>
    <mergeCell ref="G42:H42"/>
    <mergeCell ref="G43:H43"/>
    <mergeCell ref="B52:B53"/>
    <mergeCell ref="G52:G53"/>
    <mergeCell ref="H52:H67"/>
    <mergeCell ref="I106:I111"/>
    <mergeCell ref="B110:B111"/>
    <mergeCell ref="G110:G111"/>
    <mergeCell ref="A112:A113"/>
    <mergeCell ref="G72:G73"/>
    <mergeCell ref="H85:H86"/>
    <mergeCell ref="B11:B12"/>
    <mergeCell ref="A11:A13"/>
    <mergeCell ref="H11:H13"/>
    <mergeCell ref="I11:I13"/>
    <mergeCell ref="A14:A29"/>
    <mergeCell ref="A39:J39"/>
    <mergeCell ref="A45:F45"/>
    <mergeCell ref="G45:J45"/>
    <mergeCell ref="B14:B15"/>
    <mergeCell ref="G14:G15"/>
    <mergeCell ref="B20:B26"/>
    <mergeCell ref="G20:G26"/>
    <mergeCell ref="B34:B35"/>
    <mergeCell ref="A30:A35"/>
    <mergeCell ref="H30:H35"/>
    <mergeCell ref="I30:I35"/>
    <mergeCell ref="G34:G35"/>
    <mergeCell ref="H36:H37"/>
    <mergeCell ref="A85:A86"/>
    <mergeCell ref="B85:B86"/>
    <mergeCell ref="G85:G86"/>
    <mergeCell ref="E80:F80"/>
    <mergeCell ref="E82:F82"/>
    <mergeCell ref="E118:F118"/>
    <mergeCell ref="G117:H117"/>
    <mergeCell ref="G118:H118"/>
    <mergeCell ref="G119:H119"/>
    <mergeCell ref="H112:H113"/>
    <mergeCell ref="G81:H81"/>
    <mergeCell ref="A87:A89"/>
    <mergeCell ref="H87:H89"/>
    <mergeCell ref="A90:A105"/>
    <mergeCell ref="B90:B91"/>
    <mergeCell ref="G116:H116"/>
    <mergeCell ref="A115:J115"/>
    <mergeCell ref="I90:I105"/>
    <mergeCell ref="G90:G91"/>
    <mergeCell ref="H90:H105"/>
    <mergeCell ref="B92:B95"/>
    <mergeCell ref="J85:J113"/>
    <mergeCell ref="A106:A111"/>
    <mergeCell ref="H106:H111"/>
    <mergeCell ref="G47:G48"/>
    <mergeCell ref="I47:I48"/>
    <mergeCell ref="I68:I73"/>
    <mergeCell ref="B72:B73"/>
    <mergeCell ref="G79:H79"/>
    <mergeCell ref="G80:H80"/>
    <mergeCell ref="I85:I86"/>
    <mergeCell ref="C122:D122"/>
    <mergeCell ref="C84:D84"/>
    <mergeCell ref="G120:H120"/>
    <mergeCell ref="I112:I113"/>
    <mergeCell ref="A121:F121"/>
    <mergeCell ref="G121:J121"/>
    <mergeCell ref="E120:F120"/>
    <mergeCell ref="I87:I89"/>
    <mergeCell ref="B65:B67"/>
    <mergeCell ref="G78:H78"/>
    <mergeCell ref="A77:J77"/>
    <mergeCell ref="H47:H48"/>
    <mergeCell ref="B49:B50"/>
    <mergeCell ref="G49:G50"/>
    <mergeCell ref="I52:I67"/>
    <mergeCell ref="A68:A73"/>
    <mergeCell ref="H68:H73"/>
    <mergeCell ref="A1:J1"/>
    <mergeCell ref="A7:F7"/>
    <mergeCell ref="A9:A10"/>
    <mergeCell ref="H9:H10"/>
    <mergeCell ref="G7:J7"/>
    <mergeCell ref="C8:D8"/>
    <mergeCell ref="B9:B10"/>
    <mergeCell ref="E6:F6"/>
    <mergeCell ref="G6:H6"/>
    <mergeCell ref="E4:F4"/>
    <mergeCell ref="G2:H2"/>
    <mergeCell ref="G3:H3"/>
    <mergeCell ref="G4:H4"/>
    <mergeCell ref="G5:H5"/>
    <mergeCell ref="G9:G10"/>
    <mergeCell ref="I9:I10"/>
    <mergeCell ref="H123:H124"/>
    <mergeCell ref="H188:H189"/>
    <mergeCell ref="I188:I189"/>
    <mergeCell ref="I123:I124"/>
    <mergeCell ref="B134:B140"/>
    <mergeCell ref="B141:B143"/>
    <mergeCell ref="H163:H165"/>
    <mergeCell ref="I163:I165"/>
    <mergeCell ref="E156:F156"/>
    <mergeCell ref="G156:H156"/>
    <mergeCell ref="G157:H157"/>
    <mergeCell ref="G172:G178"/>
    <mergeCell ref="A153:J153"/>
    <mergeCell ref="G154:H154"/>
    <mergeCell ref="A125:A127"/>
    <mergeCell ref="B125:B126"/>
    <mergeCell ref="G166:G167"/>
    <mergeCell ref="G155:H155"/>
    <mergeCell ref="J47:J75"/>
    <mergeCell ref="G134:G140"/>
    <mergeCell ref="G193:H193"/>
    <mergeCell ref="E194:F194"/>
    <mergeCell ref="G194:H194"/>
    <mergeCell ref="G195:H195"/>
    <mergeCell ref="E158:F158"/>
    <mergeCell ref="G158:H158"/>
    <mergeCell ref="A159:F159"/>
    <mergeCell ref="G159:J159"/>
    <mergeCell ref="C160:D160"/>
    <mergeCell ref="A161:A162"/>
    <mergeCell ref="B161:B162"/>
    <mergeCell ref="G161:G162"/>
    <mergeCell ref="H161:H162"/>
    <mergeCell ref="I161:I162"/>
    <mergeCell ref="A163:A165"/>
    <mergeCell ref="B163:B164"/>
    <mergeCell ref="G163:G164"/>
    <mergeCell ref="J161:J189"/>
    <mergeCell ref="A182:A187"/>
    <mergeCell ref="H182:H187"/>
    <mergeCell ref="I182:I187"/>
    <mergeCell ref="B186:B187"/>
    <mergeCell ref="A49:A51"/>
    <mergeCell ref="I49:I51"/>
    <mergeCell ref="A52:A67"/>
    <mergeCell ref="G65:G67"/>
    <mergeCell ref="B239:B240"/>
    <mergeCell ref="B58:B64"/>
    <mergeCell ref="G58:G64"/>
    <mergeCell ref="B96:B102"/>
    <mergeCell ref="G96:G102"/>
    <mergeCell ref="B210:B216"/>
    <mergeCell ref="G210:G216"/>
    <mergeCell ref="B172:B178"/>
    <mergeCell ref="G186:G187"/>
    <mergeCell ref="A188:A189"/>
    <mergeCell ref="G92:G95"/>
    <mergeCell ref="B103:B105"/>
    <mergeCell ref="A83:F83"/>
    <mergeCell ref="G83:J83"/>
    <mergeCell ref="G82:H82"/>
    <mergeCell ref="B87:B88"/>
    <mergeCell ref="G87:G88"/>
    <mergeCell ref="A191:J191"/>
    <mergeCell ref="G192:H192"/>
    <mergeCell ref="G123:G124"/>
    <mergeCell ref="A74:A75"/>
    <mergeCell ref="H74:H75"/>
    <mergeCell ref="I74:I75"/>
    <mergeCell ref="J123:J151"/>
    <mergeCell ref="A144:A149"/>
    <mergeCell ref="H144:H149"/>
    <mergeCell ref="I144:I149"/>
    <mergeCell ref="B148:B149"/>
    <mergeCell ref="G148:G149"/>
    <mergeCell ref="A150:A151"/>
    <mergeCell ref="H150:H151"/>
    <mergeCell ref="I150:I151"/>
    <mergeCell ref="G125:G126"/>
    <mergeCell ref="H125:H127"/>
    <mergeCell ref="I125:I127"/>
    <mergeCell ref="A128:A143"/>
    <mergeCell ref="B128:B129"/>
    <mergeCell ref="G128:G129"/>
    <mergeCell ref="H128:H143"/>
    <mergeCell ref="B130:B133"/>
    <mergeCell ref="G130:G133"/>
    <mergeCell ref="I128:I143"/>
    <mergeCell ref="A123:A124"/>
    <mergeCell ref="B123:B124"/>
    <mergeCell ref="A220:A225"/>
    <mergeCell ref="H220:H225"/>
    <mergeCell ref="I220:I225"/>
    <mergeCell ref="B224:B225"/>
    <mergeCell ref="G224:G225"/>
    <mergeCell ref="A226:A227"/>
    <mergeCell ref="H226:H227"/>
    <mergeCell ref="I226:I227"/>
    <mergeCell ref="I201:I203"/>
    <mergeCell ref="A204:A219"/>
    <mergeCell ref="H204:H219"/>
    <mergeCell ref="A199:A200"/>
    <mergeCell ref="B199:B200"/>
    <mergeCell ref="E196:F196"/>
    <mergeCell ref="B206:B209"/>
    <mergeCell ref="G206:G209"/>
    <mergeCell ref="B217:B219"/>
    <mergeCell ref="G217:G219"/>
    <mergeCell ref="B204:B205"/>
    <mergeCell ref="G204:G205"/>
    <mergeCell ref="A340:A341"/>
    <mergeCell ref="H340:H341"/>
    <mergeCell ref="I340:I341"/>
    <mergeCell ref="J351:J379"/>
    <mergeCell ref="A372:A377"/>
    <mergeCell ref="H372:H377"/>
    <mergeCell ref="I372:I377"/>
    <mergeCell ref="B376:B377"/>
    <mergeCell ref="G376:G377"/>
    <mergeCell ref="A378:A379"/>
    <mergeCell ref="H378:H379"/>
    <mergeCell ref="I378:I379"/>
    <mergeCell ref="C350:D350"/>
    <mergeCell ref="A351:A352"/>
    <mergeCell ref="B351:B352"/>
    <mergeCell ref="G351:G352"/>
    <mergeCell ref="H351:H352"/>
    <mergeCell ref="I351:I352"/>
    <mergeCell ref="A353:A355"/>
    <mergeCell ref="A343:J343"/>
    <mergeCell ref="G344:H344"/>
    <mergeCell ref="G345:H345"/>
    <mergeCell ref="E346:F346"/>
    <mergeCell ref="G346:H346"/>
    <mergeCell ref="B353:B354"/>
    <mergeCell ref="G353:G354"/>
    <mergeCell ref="H353:H355"/>
    <mergeCell ref="I353:I355"/>
    <mergeCell ref="I242:I257"/>
    <mergeCell ref="B242:B243"/>
    <mergeCell ref="G242:G243"/>
    <mergeCell ref="H242:H257"/>
    <mergeCell ref="G338:G339"/>
    <mergeCell ref="G347:H347"/>
    <mergeCell ref="B248:B254"/>
    <mergeCell ref="B286:B292"/>
    <mergeCell ref="G286:G292"/>
    <mergeCell ref="G248:G254"/>
    <mergeCell ref="G282:G285"/>
    <mergeCell ref="B293:B295"/>
    <mergeCell ref="G293:G295"/>
    <mergeCell ref="I280:I295"/>
    <mergeCell ref="I315:I317"/>
    <mergeCell ref="E310:F310"/>
    <mergeCell ref="G310:H310"/>
    <mergeCell ref="A311:F311"/>
    <mergeCell ref="G311:J311"/>
    <mergeCell ref="C312:D312"/>
  </mergeCells>
  <conditionalFormatting sqref="A8 E8:J8 A1:A2 C3:C4 D3:D5 A6 A44 A82 A120 A158 A196 A234 A272 A310 A348">
    <cfRule type="beginsWith" dxfId="890" priority="10298" stopIfTrue="1" operator="beginsWith" text="Functioning At Risk">
      <formula>LEFT(A1,LEN("Functioning At Risk"))="Functioning At Risk"</formula>
    </cfRule>
    <cfRule type="beginsWith" dxfId="889" priority="10299" stopIfTrue="1" operator="beginsWith" text="Not Functioning">
      <formula>LEFT(A1,LEN("Not Functioning"))="Not Functioning"</formula>
    </cfRule>
    <cfRule type="containsText" dxfId="888" priority="10300" operator="containsText" text="Functioning">
      <formula>NOT(ISERROR(SEARCH("Functioning",A1)))</formula>
    </cfRule>
  </conditionalFormatting>
  <conditionalFormatting sqref="J2:J5">
    <cfRule type="beginsWith" dxfId="887" priority="5086" stopIfTrue="1" operator="beginsWith" text="Functioning At Risk">
      <formula>LEFT(J2,LEN("Functioning At Risk"))="Functioning At Risk"</formula>
    </cfRule>
    <cfRule type="beginsWith" dxfId="886" priority="5087" stopIfTrue="1" operator="beginsWith" text="Not Functioning">
      <formula>LEFT(J2,LEN("Not Functioning"))="Not Functioning"</formula>
    </cfRule>
    <cfRule type="containsText" dxfId="885" priority="5088" operator="containsText" text="Functioning">
      <formula>NOT(ISERROR(SEARCH("Functioning",J2)))</formula>
    </cfRule>
  </conditionalFormatting>
  <conditionalFormatting sqref="D5">
    <cfRule type="beginsWith" dxfId="884" priority="4777" stopIfTrue="1" operator="beginsWith" text="Functioning At Risk">
      <formula>LEFT(D5,LEN("Functioning At Risk"))="Functioning At Risk"</formula>
    </cfRule>
    <cfRule type="beginsWith" dxfId="883" priority="4778" stopIfTrue="1" operator="beginsWith" text="Not Functioning">
      <formula>LEFT(D5,LEN("Not Functioning"))="Not Functioning"</formula>
    </cfRule>
    <cfRule type="containsText" dxfId="882" priority="4779" operator="containsText" text="Functioning">
      <formula>NOT(ISERROR(SEARCH("Functioning",D5)))</formula>
    </cfRule>
  </conditionalFormatting>
  <conditionalFormatting sqref="B2">
    <cfRule type="beginsWith" dxfId="881" priority="3625" stopIfTrue="1" operator="beginsWith" text="Functioning At Risk">
      <formula>LEFT(B2,LEN("Functioning At Risk"))="Functioning At Risk"</formula>
    </cfRule>
    <cfRule type="beginsWith" dxfId="880" priority="3626" stopIfTrue="1" operator="beginsWith" text="Not Functioning">
      <formula>LEFT(B2,LEN("Not Functioning"))="Not Functioning"</formula>
    </cfRule>
    <cfRule type="containsText" dxfId="879" priority="3627" operator="containsText" text="Functioning">
      <formula>NOT(ISERROR(SEARCH("Functioning",B2)))</formula>
    </cfRule>
  </conditionalFormatting>
  <conditionalFormatting sqref="E3:E5">
    <cfRule type="beginsWith" dxfId="878" priority="3175" stopIfTrue="1" operator="beginsWith" text="Functioning At Risk">
      <formula>LEFT(E3,LEN("Functioning At Risk"))="Functioning At Risk"</formula>
    </cfRule>
    <cfRule type="beginsWith" dxfId="877" priority="3176" stopIfTrue="1" operator="beginsWith" text="Not Functioning">
      <formula>LEFT(E3,LEN("Not Functioning"))="Not Functioning"</formula>
    </cfRule>
    <cfRule type="containsText" dxfId="876" priority="3177" operator="containsText" text="Functioning">
      <formula>NOT(ISERROR(SEARCH("Functioning",E3)))</formula>
    </cfRule>
  </conditionalFormatting>
  <conditionalFormatting sqref="B6">
    <cfRule type="beginsWith" dxfId="875" priority="3169" stopIfTrue="1" operator="beginsWith" text="Functioning At Risk">
      <formula>LEFT(B6,LEN("Functioning At Risk"))="Functioning At Risk"</formula>
    </cfRule>
    <cfRule type="beginsWith" dxfId="874" priority="3170" stopIfTrue="1" operator="beginsWith" text="Not Functioning">
      <formula>LEFT(B6,LEN("Not Functioning"))="Not Functioning"</formula>
    </cfRule>
    <cfRule type="containsText" dxfId="873" priority="3171" operator="containsText" text="Functioning">
      <formula>NOT(ISERROR(SEARCH("Functioning",B6)))</formula>
    </cfRule>
  </conditionalFormatting>
  <conditionalFormatting sqref="C2">
    <cfRule type="beginsWith" dxfId="872" priority="3166" stopIfTrue="1" operator="beginsWith" text="Functioning At Risk">
      <formula>LEFT(C2,LEN("Functioning At Risk"))="Functioning At Risk"</formula>
    </cfRule>
    <cfRule type="beginsWith" dxfId="871" priority="3167" stopIfTrue="1" operator="beginsWith" text="Not Functioning">
      <formula>LEFT(C2,LEN("Not Functioning"))="Not Functioning"</formula>
    </cfRule>
    <cfRule type="containsText" dxfId="870" priority="3168" operator="containsText" text="Functioning">
      <formula>NOT(ISERROR(SEARCH("Functioning",C2)))</formula>
    </cfRule>
  </conditionalFormatting>
  <conditionalFormatting sqref="D2">
    <cfRule type="beginsWith" dxfId="869" priority="3163" stopIfTrue="1" operator="beginsWith" text="Functioning At Risk">
      <formula>LEFT(D2,LEN("Functioning At Risk"))="Functioning At Risk"</formula>
    </cfRule>
    <cfRule type="beginsWith" dxfId="868" priority="3164" stopIfTrue="1" operator="beginsWith" text="Not Functioning">
      <formula>LEFT(D2,LEN("Not Functioning"))="Not Functioning"</formula>
    </cfRule>
    <cfRule type="containsText" dxfId="867" priority="3165" operator="containsText" text="Functioning">
      <formula>NOT(ISERROR(SEARCH("Functioning",D2)))</formula>
    </cfRule>
  </conditionalFormatting>
  <conditionalFormatting sqref="D6">
    <cfRule type="beginsWith" dxfId="866" priority="2119" stopIfTrue="1" operator="beginsWith" text="Functioning At Risk">
      <formula>LEFT(D6,LEN("Functioning At Risk"))="Functioning At Risk"</formula>
    </cfRule>
    <cfRule type="beginsWith" dxfId="865" priority="2120" stopIfTrue="1" operator="beginsWith" text="Not Functioning">
      <formula>LEFT(D6,LEN("Not Functioning"))="Not Functioning"</formula>
    </cfRule>
    <cfRule type="containsText" dxfId="864" priority="2121" operator="containsText" text="Functioning">
      <formula>NOT(ISERROR(SEARCH("Functioning",D6)))</formula>
    </cfRule>
  </conditionalFormatting>
  <conditionalFormatting sqref="A78 C79:C80 D79:D81">
    <cfRule type="beginsWith" dxfId="863" priority="1996" stopIfTrue="1" operator="beginsWith" text="Functioning At Risk">
      <formula>LEFT(A78,LEN("Functioning At Risk"))="Functioning At Risk"</formula>
    </cfRule>
    <cfRule type="beginsWith" dxfId="862" priority="1997" stopIfTrue="1" operator="beginsWith" text="Not Functioning">
      <formula>LEFT(A78,LEN("Not Functioning"))="Not Functioning"</formula>
    </cfRule>
    <cfRule type="containsText" dxfId="861" priority="1998" operator="containsText" text="Functioning">
      <formula>NOT(ISERROR(SEARCH("Functioning",A78)))</formula>
    </cfRule>
  </conditionalFormatting>
  <conditionalFormatting sqref="D6">
    <cfRule type="beginsWith" dxfId="860" priority="2122" stopIfTrue="1" operator="beginsWith" text="Functioning At Risk">
      <formula>LEFT(D6,LEN("Functioning At Risk"))="Functioning At Risk"</formula>
    </cfRule>
    <cfRule type="beginsWith" dxfId="859" priority="2123" stopIfTrue="1" operator="beginsWith" text="Not Functioning">
      <formula>LEFT(D6,LEN("Not Functioning"))="Not Functioning"</formula>
    </cfRule>
    <cfRule type="containsText" dxfId="858" priority="2124" operator="containsText" text="Functioning">
      <formula>NOT(ISERROR(SEARCH("Functioning",D6)))</formula>
    </cfRule>
  </conditionalFormatting>
  <conditionalFormatting sqref="B8:C8">
    <cfRule type="beginsWith" dxfId="857" priority="2695" stopIfTrue="1" operator="beginsWith" text="Functioning At Risk">
      <formula>LEFT(B8,LEN("Functioning At Risk"))="Functioning At Risk"</formula>
    </cfRule>
    <cfRule type="beginsWith" dxfId="856" priority="2696" stopIfTrue="1" operator="beginsWith" text="Not Functioning">
      <formula>LEFT(B8,LEN("Not Functioning"))="Not Functioning"</formula>
    </cfRule>
    <cfRule type="containsText" dxfId="855" priority="2697" operator="containsText" text="Functioning">
      <formula>NOT(ISERROR(SEARCH("Functioning",B8)))</formula>
    </cfRule>
  </conditionalFormatting>
  <conditionalFormatting sqref="I9:J9 I10:I30 I36">
    <cfRule type="beginsWith" dxfId="854" priority="2686" stopIfTrue="1" operator="beginsWith" text="Functioning At Risk">
      <formula>LEFT(I9,LEN("Functioning At Risk"))="Functioning At Risk"</formula>
    </cfRule>
    <cfRule type="beginsWith" dxfId="853" priority="2687" stopIfTrue="1" operator="beginsWith" text="Not Functioning">
      <formula>LEFT(I9,LEN("Not Functioning"))="Not Functioning"</formula>
    </cfRule>
    <cfRule type="containsText" dxfId="852" priority="2688" stopIfTrue="1" operator="containsText" text="Functioning">
      <formula>NOT(ISERROR(SEARCH("Functioning",I9)))</formula>
    </cfRule>
  </conditionalFormatting>
  <conditionalFormatting sqref="F27:H29 F36:H36 F11:H11 G9:H10 F21:F25 H21:H26 F13:H20 G12:H12 F31:G34 F35 F37:G37 G30">
    <cfRule type="cellIs" dxfId="851" priority="2681" operator="lessThan">
      <formula>0.7</formula>
    </cfRule>
    <cfRule type="cellIs" dxfId="850" priority="2682" operator="lessThanOrEqual">
      <formula>1</formula>
    </cfRule>
  </conditionalFormatting>
  <conditionalFormatting sqref="F36:H36 F11:H11 G9:H10 F27:H29 F21:F25 H21:H26 F13:H20 G12:H12 F31:G34 F35 F37:G37 G30">
    <cfRule type="cellIs" dxfId="849" priority="2680" operator="lessThan">
      <formula>0.3</formula>
    </cfRule>
  </conditionalFormatting>
  <conditionalFormatting sqref="E2:F2">
    <cfRule type="beginsWith" dxfId="848" priority="2677" stopIfTrue="1" operator="beginsWith" text="Functioning At Risk">
      <formula>LEFT(E2,LEN("Functioning At Risk"))="Functioning At Risk"</formula>
    </cfRule>
    <cfRule type="beginsWith" dxfId="847" priority="2678" stopIfTrue="1" operator="beginsWith" text="Not Functioning">
      <formula>LEFT(E2,LEN("Not Functioning"))="Not Functioning"</formula>
    </cfRule>
    <cfRule type="containsText" dxfId="846" priority="2679" operator="containsText" text="Functioning">
      <formula>NOT(ISERROR(SEARCH("Functioning",E2)))</formula>
    </cfRule>
  </conditionalFormatting>
  <conditionalFormatting sqref="B5">
    <cfRule type="beginsWith" dxfId="845" priority="2674" stopIfTrue="1" operator="beginsWith" text="Functioning At Risk">
      <formula>LEFT(B5,LEN("Functioning At Risk"))="Functioning At Risk"</formula>
    </cfRule>
    <cfRule type="beginsWith" dxfId="844" priority="2675" stopIfTrue="1" operator="beginsWith" text="Not Functioning">
      <formula>LEFT(B5,LEN("Not Functioning"))="Not Functioning"</formula>
    </cfRule>
    <cfRule type="containsText" dxfId="843" priority="2676" operator="containsText" text="Functioning">
      <formula>NOT(ISERROR(SEARCH("Functioning",B5)))</formula>
    </cfRule>
  </conditionalFormatting>
  <conditionalFormatting sqref="B3">
    <cfRule type="beginsWith" dxfId="842" priority="2671" stopIfTrue="1" operator="beginsWith" text="Functioning At Risk">
      <formula>LEFT(B3,LEN("Functioning At Risk"))="Functioning At Risk"</formula>
    </cfRule>
    <cfRule type="beginsWith" dxfId="841" priority="2672" stopIfTrue="1" operator="beginsWith" text="Not Functioning">
      <formula>LEFT(B3,LEN("Not Functioning"))="Not Functioning"</formula>
    </cfRule>
    <cfRule type="containsText" dxfId="840" priority="2673" operator="containsText" text="Functioning">
      <formula>NOT(ISERROR(SEARCH("Functioning",B3)))</formula>
    </cfRule>
  </conditionalFormatting>
  <conditionalFormatting sqref="I2:I6">
    <cfRule type="beginsWith" dxfId="839" priority="2668" stopIfTrue="1" operator="beginsWith" text="Functioning At Risk">
      <formula>LEFT(I2,LEN("Functioning At Risk"))="Functioning At Risk"</formula>
    </cfRule>
    <cfRule type="beginsWith" dxfId="838" priority="2669" stopIfTrue="1" operator="beginsWith" text="Not Functioning">
      <formula>LEFT(I2,LEN("Not Functioning"))="Not Functioning"</formula>
    </cfRule>
    <cfRule type="containsText" dxfId="837" priority="2670" operator="containsText" text="Functioning">
      <formula>NOT(ISERROR(SEARCH("Functioning",I2)))</formula>
    </cfRule>
  </conditionalFormatting>
  <conditionalFormatting sqref="J44">
    <cfRule type="beginsWith" dxfId="836" priority="1999" stopIfTrue="1" operator="beginsWith" text="Functioning At Risk">
      <formula>LEFT(J44,LEN("Functioning At Risk"))="Functioning At Risk"</formula>
    </cfRule>
    <cfRule type="beginsWith" dxfId="835" priority="2000" stopIfTrue="1" operator="beginsWith" text="Not Functioning">
      <formula>LEFT(J44,LEN("Not Functioning"))="Not Functioning"</formula>
    </cfRule>
    <cfRule type="containsText" dxfId="834" priority="2001" operator="containsText" text="Functioning">
      <formula>NOT(ISERROR(SEARCH("Functioning",J44)))</formula>
    </cfRule>
  </conditionalFormatting>
  <conditionalFormatting sqref="I40:I44">
    <cfRule type="beginsWith" dxfId="833" priority="2008" stopIfTrue="1" operator="beginsWith" text="Functioning At Risk">
      <formula>LEFT(I40,LEN("Functioning At Risk"))="Functioning At Risk"</formula>
    </cfRule>
    <cfRule type="beginsWith" dxfId="832" priority="2009" stopIfTrue="1" operator="beginsWith" text="Not Functioning">
      <formula>LEFT(I40,LEN("Not Functioning"))="Not Functioning"</formula>
    </cfRule>
    <cfRule type="containsText" dxfId="831" priority="2010" operator="containsText" text="Functioning">
      <formula>NOT(ISERROR(SEARCH("Functioning",I40)))</formula>
    </cfRule>
  </conditionalFormatting>
  <conditionalFormatting sqref="A41">
    <cfRule type="beginsWith" dxfId="830" priority="2005" stopIfTrue="1" operator="beginsWith" text="Functioning At Risk">
      <formula>LEFT(A41,LEN("Functioning At Risk"))="Functioning At Risk"</formula>
    </cfRule>
    <cfRule type="beginsWith" dxfId="829" priority="2006" stopIfTrue="1" operator="beginsWith" text="Not Functioning">
      <formula>LEFT(A41,LEN("Not Functioning"))="Not Functioning"</formula>
    </cfRule>
    <cfRule type="containsText" dxfId="828" priority="2007" operator="containsText" text="Functioning">
      <formula>NOT(ISERROR(SEARCH("Functioning",A41)))</formula>
    </cfRule>
  </conditionalFormatting>
  <conditionalFormatting sqref="J44">
    <cfRule type="beginsWith" dxfId="827" priority="2002" stopIfTrue="1" operator="beginsWith" text="Functioning At Risk">
      <formula>LEFT(J44,LEN("Functioning At Risk"))="Functioning At Risk"</formula>
    </cfRule>
    <cfRule type="beginsWith" dxfId="826" priority="2003" stopIfTrue="1" operator="beginsWith" text="Not Functioning">
      <formula>LEFT(J44,LEN("Not Functioning"))="Not Functioning"</formula>
    </cfRule>
    <cfRule type="containsText" dxfId="825" priority="2004" operator="containsText" text="Functioning">
      <formula>NOT(ISERROR(SEARCH("Functioning",J44)))</formula>
    </cfRule>
  </conditionalFormatting>
  <conditionalFormatting sqref="J78:J81">
    <cfRule type="beginsWith" dxfId="824" priority="1993" stopIfTrue="1" operator="beginsWith" text="Functioning At Risk">
      <formula>LEFT(J78,LEN("Functioning At Risk"))="Functioning At Risk"</formula>
    </cfRule>
    <cfRule type="beginsWith" dxfId="823" priority="1994" stopIfTrue="1" operator="beginsWith" text="Not Functioning">
      <formula>LEFT(J78,LEN("Not Functioning"))="Not Functioning"</formula>
    </cfRule>
    <cfRule type="containsText" dxfId="822" priority="1995" operator="containsText" text="Functioning">
      <formula>NOT(ISERROR(SEARCH("Functioning",J78)))</formula>
    </cfRule>
  </conditionalFormatting>
  <conditionalFormatting sqref="D81">
    <cfRule type="beginsWith" dxfId="821" priority="1990" stopIfTrue="1" operator="beginsWith" text="Functioning At Risk">
      <formula>LEFT(D81,LEN("Functioning At Risk"))="Functioning At Risk"</formula>
    </cfRule>
    <cfRule type="beginsWith" dxfId="820" priority="1991" stopIfTrue="1" operator="beginsWith" text="Not Functioning">
      <formula>LEFT(D81,LEN("Not Functioning"))="Not Functioning"</formula>
    </cfRule>
    <cfRule type="containsText" dxfId="819" priority="1992" operator="containsText" text="Functioning">
      <formula>NOT(ISERROR(SEARCH("Functioning",D81)))</formula>
    </cfRule>
  </conditionalFormatting>
  <conditionalFormatting sqref="B78">
    <cfRule type="beginsWith" dxfId="818" priority="1987" stopIfTrue="1" operator="beginsWith" text="Functioning At Risk">
      <formula>LEFT(B78,LEN("Functioning At Risk"))="Functioning At Risk"</formula>
    </cfRule>
    <cfRule type="beginsWith" dxfId="817" priority="1988" stopIfTrue="1" operator="beginsWith" text="Not Functioning">
      <formula>LEFT(B78,LEN("Not Functioning"))="Not Functioning"</formula>
    </cfRule>
    <cfRule type="containsText" dxfId="816" priority="1989" operator="containsText" text="Functioning">
      <formula>NOT(ISERROR(SEARCH("Functioning",B78)))</formula>
    </cfRule>
  </conditionalFormatting>
  <conditionalFormatting sqref="C78">
    <cfRule type="beginsWith" dxfId="815" priority="1975" stopIfTrue="1" operator="beginsWith" text="Functioning At Risk">
      <formula>LEFT(C78,LEN("Functioning At Risk"))="Functioning At Risk"</formula>
    </cfRule>
    <cfRule type="beginsWith" dxfId="814" priority="1976" stopIfTrue="1" operator="beginsWith" text="Not Functioning">
      <formula>LEFT(C78,LEN("Not Functioning"))="Not Functioning"</formula>
    </cfRule>
    <cfRule type="containsText" dxfId="813" priority="1977" operator="containsText" text="Functioning">
      <formula>NOT(ISERROR(SEARCH("Functioning",C78)))</formula>
    </cfRule>
  </conditionalFormatting>
  <conditionalFormatting sqref="B82">
    <cfRule type="beginsWith" dxfId="812" priority="1978" stopIfTrue="1" operator="beginsWith" text="Functioning At Risk">
      <formula>LEFT(B82,LEN("Functioning At Risk"))="Functioning At Risk"</formula>
    </cfRule>
    <cfRule type="beginsWith" dxfId="811" priority="1979" stopIfTrue="1" operator="beginsWith" text="Not Functioning">
      <formula>LEFT(B82,LEN("Not Functioning"))="Not Functioning"</formula>
    </cfRule>
    <cfRule type="containsText" dxfId="810" priority="1980" operator="containsText" text="Functioning">
      <formula>NOT(ISERROR(SEARCH("Functioning",B82)))</formula>
    </cfRule>
  </conditionalFormatting>
  <conditionalFormatting sqref="D78">
    <cfRule type="beginsWith" dxfId="809" priority="1972" stopIfTrue="1" operator="beginsWith" text="Functioning At Risk">
      <formula>LEFT(D78,LEN("Functioning At Risk"))="Functioning At Risk"</formula>
    </cfRule>
    <cfRule type="beginsWith" dxfId="808" priority="1973" stopIfTrue="1" operator="beginsWith" text="Not Functioning">
      <formula>LEFT(D78,LEN("Not Functioning"))="Not Functioning"</formula>
    </cfRule>
    <cfRule type="containsText" dxfId="807" priority="1974" operator="containsText" text="Functioning">
      <formula>NOT(ISERROR(SEARCH("Functioning",D78)))</formula>
    </cfRule>
  </conditionalFormatting>
  <conditionalFormatting sqref="B120">
    <cfRule type="beginsWith" dxfId="806" priority="1918" stopIfTrue="1" operator="beginsWith" text="Functioning At Risk">
      <formula>LEFT(B120,LEN("Functioning At Risk"))="Functioning At Risk"</formula>
    </cfRule>
    <cfRule type="beginsWith" dxfId="805" priority="1919" stopIfTrue="1" operator="beginsWith" text="Not Functioning">
      <formula>LEFT(B120,LEN("Not Functioning"))="Not Functioning"</formula>
    </cfRule>
    <cfRule type="containsText" dxfId="804" priority="1920" operator="containsText" text="Functioning">
      <formula>NOT(ISERROR(SEARCH("Functioning",B120)))</formula>
    </cfRule>
  </conditionalFormatting>
  <conditionalFormatting sqref="C116">
    <cfRule type="beginsWith" dxfId="803" priority="1915" stopIfTrue="1" operator="beginsWith" text="Functioning At Risk">
      <formula>LEFT(C116,LEN("Functioning At Risk"))="Functioning At Risk"</formula>
    </cfRule>
    <cfRule type="beginsWith" dxfId="802" priority="1916" stopIfTrue="1" operator="beginsWith" text="Not Functioning">
      <formula>LEFT(C116,LEN("Not Functioning"))="Not Functioning"</formula>
    </cfRule>
    <cfRule type="containsText" dxfId="801" priority="1917" operator="containsText" text="Functioning">
      <formula>NOT(ISERROR(SEARCH("Functioning",C116)))</formula>
    </cfRule>
  </conditionalFormatting>
  <conditionalFormatting sqref="B81">
    <cfRule type="beginsWith" dxfId="800" priority="1954" stopIfTrue="1" operator="beginsWith" text="Functioning At Risk">
      <formula>LEFT(B81,LEN("Functioning At Risk"))="Functioning At Risk"</formula>
    </cfRule>
    <cfRule type="beginsWith" dxfId="799" priority="1955" stopIfTrue="1" operator="beginsWith" text="Not Functioning">
      <formula>LEFT(B81,LEN("Not Functioning"))="Not Functioning"</formula>
    </cfRule>
    <cfRule type="containsText" dxfId="798" priority="1956" operator="containsText" text="Functioning">
      <formula>NOT(ISERROR(SEARCH("Functioning",B81)))</formula>
    </cfRule>
  </conditionalFormatting>
  <conditionalFormatting sqref="I78:I82">
    <cfRule type="beginsWith" dxfId="797" priority="1948" stopIfTrue="1" operator="beginsWith" text="Functioning At Risk">
      <formula>LEFT(I78,LEN("Functioning At Risk"))="Functioning At Risk"</formula>
    </cfRule>
    <cfRule type="beginsWith" dxfId="796" priority="1949" stopIfTrue="1" operator="beginsWith" text="Not Functioning">
      <formula>LEFT(I78,LEN("Not Functioning"))="Not Functioning"</formula>
    </cfRule>
    <cfRule type="containsText" dxfId="795" priority="1950" operator="containsText" text="Functioning">
      <formula>NOT(ISERROR(SEARCH("Functioning",I78)))</formula>
    </cfRule>
  </conditionalFormatting>
  <conditionalFormatting sqref="A3">
    <cfRule type="beginsWith" dxfId="794" priority="2179" stopIfTrue="1" operator="beginsWith" text="Functioning At Risk">
      <formula>LEFT(A3,LEN("Functioning At Risk"))="Functioning At Risk"</formula>
    </cfRule>
    <cfRule type="beginsWith" dxfId="793" priority="2180" stopIfTrue="1" operator="beginsWith" text="Not Functioning">
      <formula>LEFT(A3,LEN("Not Functioning"))="Not Functioning"</formula>
    </cfRule>
    <cfRule type="containsText" dxfId="792" priority="2181" operator="containsText" text="Functioning">
      <formula>NOT(ISERROR(SEARCH("Functioning",A3)))</formula>
    </cfRule>
  </conditionalFormatting>
  <conditionalFormatting sqref="J306:J309">
    <cfRule type="beginsWith" dxfId="791" priority="1513" stopIfTrue="1" operator="beginsWith" text="Functioning At Risk">
      <formula>LEFT(J306,LEN("Functioning At Risk"))="Functioning At Risk"</formula>
    </cfRule>
    <cfRule type="beginsWith" dxfId="790" priority="1514" stopIfTrue="1" operator="beginsWith" text="Not Functioning">
      <formula>LEFT(J306,LEN("Not Functioning"))="Not Functioning"</formula>
    </cfRule>
    <cfRule type="containsText" dxfId="789" priority="1515" operator="containsText" text="Functioning">
      <formula>NOT(ISERROR(SEARCH("Functioning",J306)))</formula>
    </cfRule>
  </conditionalFormatting>
  <conditionalFormatting sqref="D309">
    <cfRule type="beginsWith" dxfId="788" priority="1510" stopIfTrue="1" operator="beginsWith" text="Functioning At Risk">
      <formula>LEFT(D309,LEN("Functioning At Risk"))="Functioning At Risk"</formula>
    </cfRule>
    <cfRule type="beginsWith" dxfId="787" priority="1511" stopIfTrue="1" operator="beginsWith" text="Not Functioning">
      <formula>LEFT(D309,LEN("Not Functioning"))="Not Functioning"</formula>
    </cfRule>
    <cfRule type="containsText" dxfId="786" priority="1512" operator="containsText" text="Functioning">
      <formula>NOT(ISERROR(SEARCH("Functioning",D309)))</formula>
    </cfRule>
  </conditionalFormatting>
  <conditionalFormatting sqref="B306">
    <cfRule type="beginsWith" dxfId="785" priority="1507" stopIfTrue="1" operator="beginsWith" text="Functioning At Risk">
      <formula>LEFT(B306,LEN("Functioning At Risk"))="Functioning At Risk"</formula>
    </cfRule>
    <cfRule type="beginsWith" dxfId="784" priority="1508" stopIfTrue="1" operator="beginsWith" text="Not Functioning">
      <formula>LEFT(B306,LEN("Not Functioning"))="Not Functioning"</formula>
    </cfRule>
    <cfRule type="containsText" dxfId="783" priority="1509" operator="containsText" text="Functioning">
      <formula>NOT(ISERROR(SEARCH("Functioning",B306)))</formula>
    </cfRule>
  </conditionalFormatting>
  <conditionalFormatting sqref="B310">
    <cfRule type="beginsWith" dxfId="782" priority="1498" stopIfTrue="1" operator="beginsWith" text="Functioning At Risk">
      <formula>LEFT(B310,LEN("Functioning At Risk"))="Functioning At Risk"</formula>
    </cfRule>
    <cfRule type="beginsWith" dxfId="781" priority="1499" stopIfTrue="1" operator="beginsWith" text="Not Functioning">
      <formula>LEFT(B310,LEN("Not Functioning"))="Not Functioning"</formula>
    </cfRule>
    <cfRule type="containsText" dxfId="780" priority="1500" operator="containsText" text="Functioning">
      <formula>NOT(ISERROR(SEARCH("Functioning",B310)))</formula>
    </cfRule>
  </conditionalFormatting>
  <conditionalFormatting sqref="C306">
    <cfRule type="beginsWith" dxfId="779" priority="1495" stopIfTrue="1" operator="beginsWith" text="Functioning At Risk">
      <formula>LEFT(C306,LEN("Functioning At Risk"))="Functioning At Risk"</formula>
    </cfRule>
    <cfRule type="beginsWith" dxfId="778" priority="1496" stopIfTrue="1" operator="beginsWith" text="Not Functioning">
      <formula>LEFT(C306,LEN("Not Functioning"))="Not Functioning"</formula>
    </cfRule>
    <cfRule type="containsText" dxfId="777" priority="1497" operator="containsText" text="Functioning">
      <formula>NOT(ISERROR(SEARCH("Functioning",C306)))</formula>
    </cfRule>
  </conditionalFormatting>
  <conditionalFormatting sqref="D306">
    <cfRule type="beginsWith" dxfId="776" priority="1492" stopIfTrue="1" operator="beginsWith" text="Functioning At Risk">
      <formula>LEFT(D306,LEN("Functioning At Risk"))="Functioning At Risk"</formula>
    </cfRule>
    <cfRule type="beginsWith" dxfId="775" priority="1493" stopIfTrue="1" operator="beginsWith" text="Not Functioning">
      <formula>LEFT(D306,LEN("Not Functioning"))="Not Functioning"</formula>
    </cfRule>
    <cfRule type="containsText" dxfId="774" priority="1494" operator="containsText" text="Functioning">
      <formula>NOT(ISERROR(SEARCH("Functioning",D306)))</formula>
    </cfRule>
  </conditionalFormatting>
  <conditionalFormatting sqref="B309">
    <cfRule type="beginsWith" dxfId="773" priority="1474" stopIfTrue="1" operator="beginsWith" text="Functioning At Risk">
      <formula>LEFT(B309,LEN("Functioning At Risk"))="Functioning At Risk"</formula>
    </cfRule>
    <cfRule type="beginsWith" dxfId="772" priority="1475" stopIfTrue="1" operator="beginsWith" text="Not Functioning">
      <formula>LEFT(B309,LEN("Not Functioning"))="Not Functioning"</formula>
    </cfRule>
    <cfRule type="containsText" dxfId="771" priority="1476" operator="containsText" text="Functioning">
      <formula>NOT(ISERROR(SEARCH("Functioning",B309)))</formula>
    </cfRule>
  </conditionalFormatting>
  <conditionalFormatting sqref="B307">
    <cfRule type="beginsWith" dxfId="770" priority="1471" stopIfTrue="1" operator="beginsWith" text="Functioning At Risk">
      <formula>LEFT(B307,LEN("Functioning At Risk"))="Functioning At Risk"</formula>
    </cfRule>
    <cfRule type="beginsWith" dxfId="769" priority="1472" stopIfTrue="1" operator="beginsWith" text="Not Functioning">
      <formula>LEFT(B307,LEN("Not Functioning"))="Not Functioning"</formula>
    </cfRule>
    <cfRule type="containsText" dxfId="768" priority="1473" operator="containsText" text="Functioning">
      <formula>NOT(ISERROR(SEARCH("Functioning",B307)))</formula>
    </cfRule>
  </conditionalFormatting>
  <conditionalFormatting sqref="I306:I310">
    <cfRule type="beginsWith" dxfId="767" priority="1468" stopIfTrue="1" operator="beginsWith" text="Functioning At Risk">
      <formula>LEFT(I306,LEN("Functioning At Risk"))="Functioning At Risk"</formula>
    </cfRule>
    <cfRule type="beginsWith" dxfId="766" priority="1469" stopIfTrue="1" operator="beginsWith" text="Not Functioning">
      <formula>LEFT(I306,LEN("Not Functioning"))="Not Functioning"</formula>
    </cfRule>
    <cfRule type="containsText" dxfId="765" priority="1470" operator="containsText" text="Functioning">
      <formula>NOT(ISERROR(SEARCH("Functioning",I306)))</formula>
    </cfRule>
  </conditionalFormatting>
  <conditionalFormatting sqref="A307">
    <cfRule type="beginsWith" dxfId="764" priority="1465" stopIfTrue="1" operator="beginsWith" text="Functioning At Risk">
      <formula>LEFT(A307,LEN("Functioning At Risk"))="Functioning At Risk"</formula>
    </cfRule>
    <cfRule type="beginsWith" dxfId="763" priority="1466" stopIfTrue="1" operator="beginsWith" text="Not Functioning">
      <formula>LEFT(A307,LEN("Not Functioning"))="Not Functioning"</formula>
    </cfRule>
    <cfRule type="containsText" dxfId="762" priority="1467" operator="containsText" text="Functioning">
      <formula>NOT(ISERROR(SEARCH("Functioning",A307)))</formula>
    </cfRule>
  </conditionalFormatting>
  <conditionalFormatting sqref="A306 C307:C308 D307:D309">
    <cfRule type="beginsWith" dxfId="761" priority="1516" stopIfTrue="1" operator="beginsWith" text="Functioning At Risk">
      <formula>LEFT(A306,LEN("Functioning At Risk"))="Functioning At Risk"</formula>
    </cfRule>
    <cfRule type="beginsWith" dxfId="760" priority="1517" stopIfTrue="1" operator="beginsWith" text="Not Functioning">
      <formula>LEFT(A306,LEN("Not Functioning"))="Not Functioning"</formula>
    </cfRule>
    <cfRule type="containsText" dxfId="759" priority="1518" operator="containsText" text="Functioning">
      <formula>NOT(ISERROR(SEARCH("Functioning",A306)))</formula>
    </cfRule>
  </conditionalFormatting>
  <conditionalFormatting sqref="J344:J347">
    <cfRule type="beginsWith" dxfId="758" priority="1453" stopIfTrue="1" operator="beginsWith" text="Functioning At Risk">
      <formula>LEFT(J344,LEN("Functioning At Risk"))="Functioning At Risk"</formula>
    </cfRule>
    <cfRule type="beginsWith" dxfId="757" priority="1454" stopIfTrue="1" operator="beginsWith" text="Not Functioning">
      <formula>LEFT(J344,LEN("Not Functioning"))="Not Functioning"</formula>
    </cfRule>
    <cfRule type="containsText" dxfId="756" priority="1455" operator="containsText" text="Functioning">
      <formula>NOT(ISERROR(SEARCH("Functioning",J344)))</formula>
    </cfRule>
  </conditionalFormatting>
  <conditionalFormatting sqref="D347">
    <cfRule type="beginsWith" dxfId="755" priority="1450" stopIfTrue="1" operator="beginsWith" text="Functioning At Risk">
      <formula>LEFT(D347,LEN("Functioning At Risk"))="Functioning At Risk"</formula>
    </cfRule>
    <cfRule type="beginsWith" dxfId="754" priority="1451" stopIfTrue="1" operator="beginsWith" text="Not Functioning">
      <formula>LEFT(D347,LEN("Not Functioning"))="Not Functioning"</formula>
    </cfRule>
    <cfRule type="containsText" dxfId="753" priority="1452" operator="containsText" text="Functioning">
      <formula>NOT(ISERROR(SEARCH("Functioning",D347)))</formula>
    </cfRule>
  </conditionalFormatting>
  <conditionalFormatting sqref="B344">
    <cfRule type="beginsWith" dxfId="752" priority="1447" stopIfTrue="1" operator="beginsWith" text="Functioning At Risk">
      <formula>LEFT(B344,LEN("Functioning At Risk"))="Functioning At Risk"</formula>
    </cfRule>
    <cfRule type="beginsWith" dxfId="751" priority="1448" stopIfTrue="1" operator="beginsWith" text="Not Functioning">
      <formula>LEFT(B344,LEN("Not Functioning"))="Not Functioning"</formula>
    </cfRule>
    <cfRule type="containsText" dxfId="750" priority="1449" operator="containsText" text="Functioning">
      <formula>NOT(ISERROR(SEARCH("Functioning",B344)))</formula>
    </cfRule>
  </conditionalFormatting>
  <conditionalFormatting sqref="B348">
    <cfRule type="beginsWith" dxfId="749" priority="1438" stopIfTrue="1" operator="beginsWith" text="Functioning At Risk">
      <formula>LEFT(B348,LEN("Functioning At Risk"))="Functioning At Risk"</formula>
    </cfRule>
    <cfRule type="beginsWith" dxfId="748" priority="1439" stopIfTrue="1" operator="beginsWith" text="Not Functioning">
      <formula>LEFT(B348,LEN("Not Functioning"))="Not Functioning"</formula>
    </cfRule>
    <cfRule type="containsText" dxfId="747" priority="1440" operator="containsText" text="Functioning">
      <formula>NOT(ISERROR(SEARCH("Functioning",B348)))</formula>
    </cfRule>
  </conditionalFormatting>
  <conditionalFormatting sqref="C344">
    <cfRule type="beginsWith" dxfId="746" priority="1435" stopIfTrue="1" operator="beginsWith" text="Functioning At Risk">
      <formula>LEFT(C344,LEN("Functioning At Risk"))="Functioning At Risk"</formula>
    </cfRule>
    <cfRule type="beginsWith" dxfId="745" priority="1436" stopIfTrue="1" operator="beginsWith" text="Not Functioning">
      <formula>LEFT(C344,LEN("Not Functioning"))="Not Functioning"</formula>
    </cfRule>
    <cfRule type="containsText" dxfId="744" priority="1437" operator="containsText" text="Functioning">
      <formula>NOT(ISERROR(SEARCH("Functioning",C344)))</formula>
    </cfRule>
  </conditionalFormatting>
  <conditionalFormatting sqref="D344">
    <cfRule type="beginsWith" dxfId="743" priority="1432" stopIfTrue="1" operator="beginsWith" text="Functioning At Risk">
      <formula>LEFT(D344,LEN("Functioning At Risk"))="Functioning At Risk"</formula>
    </cfRule>
    <cfRule type="beginsWith" dxfId="742" priority="1433" stopIfTrue="1" operator="beginsWith" text="Not Functioning">
      <formula>LEFT(D344,LEN("Not Functioning"))="Not Functioning"</formula>
    </cfRule>
    <cfRule type="containsText" dxfId="741" priority="1434" operator="containsText" text="Functioning">
      <formula>NOT(ISERROR(SEARCH("Functioning",D344)))</formula>
    </cfRule>
  </conditionalFormatting>
  <conditionalFormatting sqref="B347">
    <cfRule type="beginsWith" dxfId="740" priority="1414" stopIfTrue="1" operator="beginsWith" text="Functioning At Risk">
      <formula>LEFT(B347,LEN("Functioning At Risk"))="Functioning At Risk"</formula>
    </cfRule>
    <cfRule type="beginsWith" dxfId="739" priority="1415" stopIfTrue="1" operator="beginsWith" text="Not Functioning">
      <formula>LEFT(B347,LEN("Not Functioning"))="Not Functioning"</formula>
    </cfRule>
    <cfRule type="containsText" dxfId="738" priority="1416" operator="containsText" text="Functioning">
      <formula>NOT(ISERROR(SEARCH("Functioning",B347)))</formula>
    </cfRule>
  </conditionalFormatting>
  <conditionalFormatting sqref="B345">
    <cfRule type="beginsWith" dxfId="737" priority="1411" stopIfTrue="1" operator="beginsWith" text="Functioning At Risk">
      <formula>LEFT(B345,LEN("Functioning At Risk"))="Functioning At Risk"</formula>
    </cfRule>
    <cfRule type="beginsWith" dxfId="736" priority="1412" stopIfTrue="1" operator="beginsWith" text="Not Functioning">
      <formula>LEFT(B345,LEN("Not Functioning"))="Not Functioning"</formula>
    </cfRule>
    <cfRule type="containsText" dxfId="735" priority="1413" operator="containsText" text="Functioning">
      <formula>NOT(ISERROR(SEARCH("Functioning",B345)))</formula>
    </cfRule>
  </conditionalFormatting>
  <conditionalFormatting sqref="I344:I348">
    <cfRule type="beginsWith" dxfId="734" priority="1408" stopIfTrue="1" operator="beginsWith" text="Functioning At Risk">
      <formula>LEFT(I344,LEN("Functioning At Risk"))="Functioning At Risk"</formula>
    </cfRule>
    <cfRule type="beginsWith" dxfId="733" priority="1409" stopIfTrue="1" operator="beginsWith" text="Not Functioning">
      <formula>LEFT(I344,LEN("Not Functioning"))="Not Functioning"</formula>
    </cfRule>
    <cfRule type="containsText" dxfId="732" priority="1410" operator="containsText" text="Functioning">
      <formula>NOT(ISERROR(SEARCH("Functioning",I344)))</formula>
    </cfRule>
  </conditionalFormatting>
  <conditionalFormatting sqref="A345">
    <cfRule type="beginsWith" dxfId="731" priority="1405" stopIfTrue="1" operator="beginsWith" text="Functioning At Risk">
      <formula>LEFT(A345,LEN("Functioning At Risk"))="Functioning At Risk"</formula>
    </cfRule>
    <cfRule type="beginsWith" dxfId="730" priority="1406" stopIfTrue="1" operator="beginsWith" text="Not Functioning">
      <formula>LEFT(A345,LEN("Not Functioning"))="Not Functioning"</formula>
    </cfRule>
    <cfRule type="containsText" dxfId="729" priority="1407" operator="containsText" text="Functioning">
      <formula>NOT(ISERROR(SEARCH("Functioning",A345)))</formula>
    </cfRule>
  </conditionalFormatting>
  <conditionalFormatting sqref="J310">
    <cfRule type="beginsWith" dxfId="728" priority="1462" stopIfTrue="1" operator="beginsWith" text="Functioning At Risk">
      <formula>LEFT(J310,LEN("Functioning At Risk"))="Functioning At Risk"</formula>
    </cfRule>
    <cfRule type="beginsWith" dxfId="727" priority="1463" stopIfTrue="1" operator="beginsWith" text="Not Functioning">
      <formula>LEFT(J310,LEN("Not Functioning"))="Not Functioning"</formula>
    </cfRule>
    <cfRule type="containsText" dxfId="726" priority="1464" operator="containsText" text="Functioning">
      <formula>NOT(ISERROR(SEARCH("Functioning",J310)))</formula>
    </cfRule>
  </conditionalFormatting>
  <conditionalFormatting sqref="J310">
    <cfRule type="beginsWith" dxfId="725" priority="1459" stopIfTrue="1" operator="beginsWith" text="Functioning At Risk">
      <formula>LEFT(J310,LEN("Functioning At Risk"))="Functioning At Risk"</formula>
    </cfRule>
    <cfRule type="beginsWith" dxfId="724" priority="1460" stopIfTrue="1" operator="beginsWith" text="Not Functioning">
      <formula>LEFT(J310,LEN("Not Functioning"))="Not Functioning"</formula>
    </cfRule>
    <cfRule type="containsText" dxfId="723" priority="1461" operator="containsText" text="Functioning">
      <formula>NOT(ISERROR(SEARCH("Functioning",J310)))</formula>
    </cfRule>
  </conditionalFormatting>
  <conditionalFormatting sqref="A40 C41:C42 D41:D43">
    <cfRule type="beginsWith" dxfId="722" priority="2056" stopIfTrue="1" operator="beginsWith" text="Functioning At Risk">
      <formula>LEFT(A40,LEN("Functioning At Risk"))="Functioning At Risk"</formula>
    </cfRule>
    <cfRule type="beginsWith" dxfId="721" priority="2057" stopIfTrue="1" operator="beginsWith" text="Not Functioning">
      <formula>LEFT(A40,LEN("Not Functioning"))="Not Functioning"</formula>
    </cfRule>
    <cfRule type="containsText" dxfId="720" priority="2058" operator="containsText" text="Functioning">
      <formula>NOT(ISERROR(SEARCH("Functioning",A40)))</formula>
    </cfRule>
  </conditionalFormatting>
  <conditionalFormatting sqref="J40:J43">
    <cfRule type="beginsWith" dxfId="719" priority="2053" stopIfTrue="1" operator="beginsWith" text="Functioning At Risk">
      <formula>LEFT(J40,LEN("Functioning At Risk"))="Functioning At Risk"</formula>
    </cfRule>
    <cfRule type="beginsWith" dxfId="718" priority="2054" stopIfTrue="1" operator="beginsWith" text="Not Functioning">
      <formula>LEFT(J40,LEN("Not Functioning"))="Not Functioning"</formula>
    </cfRule>
    <cfRule type="containsText" dxfId="717" priority="2055" operator="containsText" text="Functioning">
      <formula>NOT(ISERROR(SEARCH("Functioning",J40)))</formula>
    </cfRule>
  </conditionalFormatting>
  <conditionalFormatting sqref="D43">
    <cfRule type="beginsWith" dxfId="716" priority="2050" stopIfTrue="1" operator="beginsWith" text="Functioning At Risk">
      <formula>LEFT(D43,LEN("Functioning At Risk"))="Functioning At Risk"</formula>
    </cfRule>
    <cfRule type="beginsWith" dxfId="715" priority="2051" stopIfTrue="1" operator="beginsWith" text="Not Functioning">
      <formula>LEFT(D43,LEN("Not Functioning"))="Not Functioning"</formula>
    </cfRule>
    <cfRule type="containsText" dxfId="714" priority="2052" operator="containsText" text="Functioning">
      <formula>NOT(ISERROR(SEARCH("Functioning",D43)))</formula>
    </cfRule>
  </conditionalFormatting>
  <conditionalFormatting sqref="C40">
    <cfRule type="beginsWith" dxfId="713" priority="2035" stopIfTrue="1" operator="beginsWith" text="Functioning At Risk">
      <formula>LEFT(C40,LEN("Functioning At Risk"))="Functioning At Risk"</formula>
    </cfRule>
    <cfRule type="beginsWith" dxfId="712" priority="2036" stopIfTrue="1" operator="beginsWith" text="Not Functioning">
      <formula>LEFT(C40,LEN("Not Functioning"))="Not Functioning"</formula>
    </cfRule>
    <cfRule type="containsText" dxfId="711" priority="2037" operator="containsText" text="Functioning">
      <formula>NOT(ISERROR(SEARCH("Functioning",C40)))</formula>
    </cfRule>
  </conditionalFormatting>
  <conditionalFormatting sqref="D40">
    <cfRule type="beginsWith" dxfId="710" priority="2032" stopIfTrue="1" operator="beginsWith" text="Functioning At Risk">
      <formula>LEFT(D40,LEN("Functioning At Risk"))="Functioning At Risk"</formula>
    </cfRule>
    <cfRule type="beginsWith" dxfId="709" priority="2033" stopIfTrue="1" operator="beginsWith" text="Not Functioning">
      <formula>LEFT(D40,LEN("Not Functioning"))="Not Functioning"</formula>
    </cfRule>
    <cfRule type="containsText" dxfId="708" priority="2034" operator="containsText" text="Functioning">
      <formula>NOT(ISERROR(SEARCH("Functioning",D40)))</formula>
    </cfRule>
  </conditionalFormatting>
  <conditionalFormatting sqref="B79">
    <cfRule type="beginsWith" dxfId="707" priority="1951" stopIfTrue="1" operator="beginsWith" text="Functioning At Risk">
      <formula>LEFT(B79,LEN("Functioning At Risk"))="Functioning At Risk"</formula>
    </cfRule>
    <cfRule type="beginsWith" dxfId="706" priority="1952" stopIfTrue="1" operator="beginsWith" text="Not Functioning">
      <formula>LEFT(B79,LEN("Not Functioning"))="Not Functioning"</formula>
    </cfRule>
    <cfRule type="containsText" dxfId="705" priority="1953" operator="containsText" text="Functioning">
      <formula>NOT(ISERROR(SEARCH("Functioning",B79)))</formula>
    </cfRule>
  </conditionalFormatting>
  <conditionalFormatting sqref="A79">
    <cfRule type="beginsWith" dxfId="704" priority="1945" stopIfTrue="1" operator="beginsWith" text="Functioning At Risk">
      <formula>LEFT(A79,LEN("Functioning At Risk"))="Functioning At Risk"</formula>
    </cfRule>
    <cfRule type="beginsWith" dxfId="703" priority="1946" stopIfTrue="1" operator="beginsWith" text="Not Functioning">
      <formula>LEFT(A79,LEN("Not Functioning"))="Not Functioning"</formula>
    </cfRule>
    <cfRule type="containsText" dxfId="702" priority="1947" operator="containsText" text="Functioning">
      <formula>NOT(ISERROR(SEARCH("Functioning",A79)))</formula>
    </cfRule>
  </conditionalFormatting>
  <conditionalFormatting sqref="J82">
    <cfRule type="beginsWith" dxfId="701" priority="1942" stopIfTrue="1" operator="beginsWith" text="Functioning At Risk">
      <formula>LEFT(J82,LEN("Functioning At Risk"))="Functioning At Risk"</formula>
    </cfRule>
    <cfRule type="beginsWith" dxfId="700" priority="1943" stopIfTrue="1" operator="beginsWith" text="Not Functioning">
      <formula>LEFT(J82,LEN("Not Functioning"))="Not Functioning"</formula>
    </cfRule>
    <cfRule type="containsText" dxfId="699" priority="1944" operator="containsText" text="Functioning">
      <formula>NOT(ISERROR(SEARCH("Functioning",J82)))</formula>
    </cfRule>
  </conditionalFormatting>
  <conditionalFormatting sqref="J82">
    <cfRule type="beginsWith" dxfId="698" priority="1939" stopIfTrue="1" operator="beginsWith" text="Functioning At Risk">
      <formula>LEFT(J82,LEN("Functioning At Risk"))="Functioning At Risk"</formula>
    </cfRule>
    <cfRule type="beginsWith" dxfId="697" priority="1940" stopIfTrue="1" operator="beginsWith" text="Not Functioning">
      <formula>LEFT(J82,LEN("Not Functioning"))="Not Functioning"</formula>
    </cfRule>
    <cfRule type="containsText" dxfId="696" priority="1941" operator="containsText" text="Functioning">
      <formula>NOT(ISERROR(SEARCH("Functioning",J82)))</formula>
    </cfRule>
  </conditionalFormatting>
  <conditionalFormatting sqref="A116 C117:C118 D117:D119">
    <cfRule type="beginsWith" dxfId="695" priority="1936" stopIfTrue="1" operator="beginsWith" text="Functioning At Risk">
      <formula>LEFT(A116,LEN("Functioning At Risk"))="Functioning At Risk"</formula>
    </cfRule>
    <cfRule type="beginsWith" dxfId="694" priority="1937" stopIfTrue="1" operator="beginsWith" text="Not Functioning">
      <formula>LEFT(A116,LEN("Not Functioning"))="Not Functioning"</formula>
    </cfRule>
    <cfRule type="containsText" dxfId="693" priority="1938" operator="containsText" text="Functioning">
      <formula>NOT(ISERROR(SEARCH("Functioning",A116)))</formula>
    </cfRule>
  </conditionalFormatting>
  <conditionalFormatting sqref="J116:J119">
    <cfRule type="beginsWith" dxfId="692" priority="1933" stopIfTrue="1" operator="beginsWith" text="Functioning At Risk">
      <formula>LEFT(J116,LEN("Functioning At Risk"))="Functioning At Risk"</formula>
    </cfRule>
    <cfRule type="beginsWith" dxfId="691" priority="1934" stopIfTrue="1" operator="beginsWith" text="Not Functioning">
      <formula>LEFT(J116,LEN("Not Functioning"))="Not Functioning"</formula>
    </cfRule>
    <cfRule type="containsText" dxfId="690" priority="1935" operator="containsText" text="Functioning">
      <formula>NOT(ISERROR(SEARCH("Functioning",J116)))</formula>
    </cfRule>
  </conditionalFormatting>
  <conditionalFormatting sqref="D119">
    <cfRule type="beginsWith" dxfId="689" priority="1930" stopIfTrue="1" operator="beginsWith" text="Functioning At Risk">
      <formula>LEFT(D119,LEN("Functioning At Risk"))="Functioning At Risk"</formula>
    </cfRule>
    <cfRule type="beginsWith" dxfId="688" priority="1931" stopIfTrue="1" operator="beginsWith" text="Not Functioning">
      <formula>LEFT(D119,LEN("Not Functioning"))="Not Functioning"</formula>
    </cfRule>
    <cfRule type="containsText" dxfId="687" priority="1932" operator="containsText" text="Functioning">
      <formula>NOT(ISERROR(SEARCH("Functioning",D119)))</formula>
    </cfRule>
  </conditionalFormatting>
  <conditionalFormatting sqref="B116">
    <cfRule type="beginsWith" dxfId="686" priority="1927" stopIfTrue="1" operator="beginsWith" text="Functioning At Risk">
      <formula>LEFT(B116,LEN("Functioning At Risk"))="Functioning At Risk"</formula>
    </cfRule>
    <cfRule type="beginsWith" dxfId="685" priority="1928" stopIfTrue="1" operator="beginsWith" text="Not Functioning">
      <formula>LEFT(B116,LEN("Not Functioning"))="Not Functioning"</formula>
    </cfRule>
    <cfRule type="containsText" dxfId="684" priority="1929" operator="containsText" text="Functioning">
      <formula>NOT(ISERROR(SEARCH("Functioning",B116)))</formula>
    </cfRule>
  </conditionalFormatting>
  <conditionalFormatting sqref="D116">
    <cfRule type="beginsWith" dxfId="683" priority="1912" stopIfTrue="1" operator="beginsWith" text="Functioning At Risk">
      <formula>LEFT(D116,LEN("Functioning At Risk"))="Functioning At Risk"</formula>
    </cfRule>
    <cfRule type="beginsWith" dxfId="682" priority="1913" stopIfTrue="1" operator="beginsWith" text="Not Functioning">
      <formula>LEFT(D116,LEN("Not Functioning"))="Not Functioning"</formula>
    </cfRule>
    <cfRule type="containsText" dxfId="681" priority="1914" operator="containsText" text="Functioning">
      <formula>NOT(ISERROR(SEARCH("Functioning",D116)))</formula>
    </cfRule>
  </conditionalFormatting>
  <conditionalFormatting sqref="B119">
    <cfRule type="beginsWith" dxfId="680" priority="1894" stopIfTrue="1" operator="beginsWith" text="Functioning At Risk">
      <formula>LEFT(B119,LEN("Functioning At Risk"))="Functioning At Risk"</formula>
    </cfRule>
    <cfRule type="beginsWith" dxfId="679" priority="1895" stopIfTrue="1" operator="beginsWith" text="Not Functioning">
      <formula>LEFT(B119,LEN("Not Functioning"))="Not Functioning"</formula>
    </cfRule>
    <cfRule type="containsText" dxfId="678" priority="1896" operator="containsText" text="Functioning">
      <formula>NOT(ISERROR(SEARCH("Functioning",B119)))</formula>
    </cfRule>
  </conditionalFormatting>
  <conditionalFormatting sqref="B117">
    <cfRule type="beginsWith" dxfId="677" priority="1891" stopIfTrue="1" operator="beginsWith" text="Functioning At Risk">
      <formula>LEFT(B117,LEN("Functioning At Risk"))="Functioning At Risk"</formula>
    </cfRule>
    <cfRule type="beginsWith" dxfId="676" priority="1892" stopIfTrue="1" operator="beginsWith" text="Not Functioning">
      <formula>LEFT(B117,LEN("Not Functioning"))="Not Functioning"</formula>
    </cfRule>
    <cfRule type="containsText" dxfId="675" priority="1893" operator="containsText" text="Functioning">
      <formula>NOT(ISERROR(SEARCH("Functioning",B117)))</formula>
    </cfRule>
  </conditionalFormatting>
  <conditionalFormatting sqref="I116:I120">
    <cfRule type="beginsWith" dxfId="674" priority="1888" stopIfTrue="1" operator="beginsWith" text="Functioning At Risk">
      <formula>LEFT(I116,LEN("Functioning At Risk"))="Functioning At Risk"</formula>
    </cfRule>
    <cfRule type="beginsWith" dxfId="673" priority="1889" stopIfTrue="1" operator="beginsWith" text="Not Functioning">
      <formula>LEFT(I116,LEN("Not Functioning"))="Not Functioning"</formula>
    </cfRule>
    <cfRule type="containsText" dxfId="672" priority="1890" operator="containsText" text="Functioning">
      <formula>NOT(ISERROR(SEARCH("Functioning",I116)))</formula>
    </cfRule>
  </conditionalFormatting>
  <conditionalFormatting sqref="A117">
    <cfRule type="beginsWith" dxfId="671" priority="1885" stopIfTrue="1" operator="beginsWith" text="Functioning At Risk">
      <formula>LEFT(A117,LEN("Functioning At Risk"))="Functioning At Risk"</formula>
    </cfRule>
    <cfRule type="beginsWith" dxfId="670" priority="1886" stopIfTrue="1" operator="beginsWith" text="Not Functioning">
      <formula>LEFT(A117,LEN("Not Functioning"))="Not Functioning"</formula>
    </cfRule>
    <cfRule type="containsText" dxfId="669" priority="1887" operator="containsText" text="Functioning">
      <formula>NOT(ISERROR(SEARCH("Functioning",A117)))</formula>
    </cfRule>
  </conditionalFormatting>
  <conditionalFormatting sqref="J120">
    <cfRule type="beginsWith" dxfId="668" priority="1882" stopIfTrue="1" operator="beginsWith" text="Functioning At Risk">
      <formula>LEFT(J120,LEN("Functioning At Risk"))="Functioning At Risk"</formula>
    </cfRule>
    <cfRule type="beginsWith" dxfId="667" priority="1883" stopIfTrue="1" operator="beginsWith" text="Not Functioning">
      <formula>LEFT(J120,LEN("Not Functioning"))="Not Functioning"</formula>
    </cfRule>
    <cfRule type="containsText" dxfId="666" priority="1884" operator="containsText" text="Functioning">
      <formula>NOT(ISERROR(SEARCH("Functioning",J120)))</formula>
    </cfRule>
  </conditionalFormatting>
  <conditionalFormatting sqref="J120">
    <cfRule type="beginsWith" dxfId="665" priority="1879" stopIfTrue="1" operator="beginsWith" text="Functioning At Risk">
      <formula>LEFT(J120,LEN("Functioning At Risk"))="Functioning At Risk"</formula>
    </cfRule>
    <cfRule type="beginsWith" dxfId="664" priority="1880" stopIfTrue="1" operator="beginsWith" text="Not Functioning">
      <formula>LEFT(J120,LEN("Not Functioning"))="Not Functioning"</formula>
    </cfRule>
    <cfRule type="containsText" dxfId="663" priority="1881" operator="containsText" text="Functioning">
      <formula>NOT(ISERROR(SEARCH("Functioning",J120)))</formula>
    </cfRule>
  </conditionalFormatting>
  <conditionalFormatting sqref="J348">
    <cfRule type="beginsWith" dxfId="662" priority="1399" stopIfTrue="1" operator="beginsWith" text="Functioning At Risk">
      <formula>LEFT(J348,LEN("Functioning At Risk"))="Functioning At Risk"</formula>
    </cfRule>
    <cfRule type="beginsWith" dxfId="661" priority="1400" stopIfTrue="1" operator="beginsWith" text="Not Functioning">
      <formula>LEFT(J348,LEN("Not Functioning"))="Not Functioning"</formula>
    </cfRule>
    <cfRule type="containsText" dxfId="660" priority="1401" operator="containsText" text="Functioning">
      <formula>NOT(ISERROR(SEARCH("Functioning",J348)))</formula>
    </cfRule>
  </conditionalFormatting>
  <conditionalFormatting sqref="B41">
    <cfRule type="beginsWith" dxfId="659" priority="1387" stopIfTrue="1" operator="beginsWith" text="Functioning At Risk">
      <formula>LEFT(B41,LEN("Functioning At Risk"))="Functioning At Risk"</formula>
    </cfRule>
    <cfRule type="beginsWith" dxfId="658" priority="1388" stopIfTrue="1" operator="beginsWith" text="Not Functioning">
      <formula>LEFT(B41,LEN("Not Functioning"))="Not Functioning"</formula>
    </cfRule>
    <cfRule type="containsText" dxfId="657" priority="1389" operator="containsText" text="Functioning">
      <formula>NOT(ISERROR(SEARCH("Functioning",B41)))</formula>
    </cfRule>
  </conditionalFormatting>
  <conditionalFormatting sqref="A344 C345:C346 D345:D347">
    <cfRule type="beginsWith" dxfId="656" priority="1456" stopIfTrue="1" operator="beginsWith" text="Functioning At Risk">
      <formula>LEFT(A344,LEN("Functioning At Risk"))="Functioning At Risk"</formula>
    </cfRule>
    <cfRule type="beginsWith" dxfId="655" priority="1457" stopIfTrue="1" operator="beginsWith" text="Not Functioning">
      <formula>LEFT(A344,LEN("Not Functioning"))="Not Functioning"</formula>
    </cfRule>
    <cfRule type="containsText" dxfId="654" priority="1458" operator="containsText" text="Functioning">
      <formula>NOT(ISERROR(SEARCH("Functioning",A344)))</formula>
    </cfRule>
  </conditionalFormatting>
  <conditionalFormatting sqref="J348">
    <cfRule type="beginsWith" dxfId="653" priority="1402" stopIfTrue="1" operator="beginsWith" text="Functioning At Risk">
      <formula>LEFT(J348,LEN("Functioning At Risk"))="Functioning At Risk"</formula>
    </cfRule>
    <cfRule type="beginsWith" dxfId="652" priority="1403" stopIfTrue="1" operator="beginsWith" text="Not Functioning">
      <formula>LEFT(J348,LEN("Not Functioning"))="Not Functioning"</formula>
    </cfRule>
    <cfRule type="containsText" dxfId="651" priority="1404" operator="containsText" text="Functioning">
      <formula>NOT(ISERROR(SEARCH("Functioning",J348)))</formula>
    </cfRule>
  </conditionalFormatting>
  <conditionalFormatting sqref="B40">
    <cfRule type="beginsWith" dxfId="650" priority="1396" stopIfTrue="1" operator="beginsWith" text="Functioning At Risk">
      <formula>LEFT(B40,LEN("Functioning At Risk"))="Functioning At Risk"</formula>
    </cfRule>
    <cfRule type="beginsWith" dxfId="649" priority="1397" stopIfTrue="1" operator="beginsWith" text="Not Functioning">
      <formula>LEFT(B40,LEN("Not Functioning"))="Not Functioning"</formula>
    </cfRule>
    <cfRule type="containsText" dxfId="648" priority="1398" operator="containsText" text="Functioning">
      <formula>NOT(ISERROR(SEARCH("Functioning",B40)))</formula>
    </cfRule>
  </conditionalFormatting>
  <conditionalFormatting sqref="B44">
    <cfRule type="beginsWith" dxfId="647" priority="1393" stopIfTrue="1" operator="beginsWith" text="Functioning At Risk">
      <formula>LEFT(B44,LEN("Functioning At Risk"))="Functioning At Risk"</formula>
    </cfRule>
    <cfRule type="beginsWith" dxfId="646" priority="1394" stopIfTrue="1" operator="beginsWith" text="Not Functioning">
      <formula>LEFT(B44,LEN("Not Functioning"))="Not Functioning"</formula>
    </cfRule>
    <cfRule type="containsText" dxfId="645" priority="1395" operator="containsText" text="Functioning">
      <formula>NOT(ISERROR(SEARCH("Functioning",B44)))</formula>
    </cfRule>
  </conditionalFormatting>
  <conditionalFormatting sqref="A154 C155:C156 D155:D157">
    <cfRule type="beginsWith" dxfId="644" priority="1756" stopIfTrue="1" operator="beginsWith" text="Functioning At Risk">
      <formula>LEFT(A154,LEN("Functioning At Risk"))="Functioning At Risk"</formula>
    </cfRule>
    <cfRule type="beginsWith" dxfId="643" priority="1757" stopIfTrue="1" operator="beginsWith" text="Not Functioning">
      <formula>LEFT(A154,LEN("Not Functioning"))="Not Functioning"</formula>
    </cfRule>
    <cfRule type="containsText" dxfId="642" priority="1758" operator="containsText" text="Functioning">
      <formula>NOT(ISERROR(SEARCH("Functioning",A154)))</formula>
    </cfRule>
  </conditionalFormatting>
  <conditionalFormatting sqref="J154:J157">
    <cfRule type="beginsWith" dxfId="641" priority="1753" stopIfTrue="1" operator="beginsWith" text="Functioning At Risk">
      <formula>LEFT(J154,LEN("Functioning At Risk"))="Functioning At Risk"</formula>
    </cfRule>
    <cfRule type="beginsWith" dxfId="640" priority="1754" stopIfTrue="1" operator="beginsWith" text="Not Functioning">
      <formula>LEFT(J154,LEN("Not Functioning"))="Not Functioning"</formula>
    </cfRule>
    <cfRule type="containsText" dxfId="639" priority="1755" operator="containsText" text="Functioning">
      <formula>NOT(ISERROR(SEARCH("Functioning",J154)))</formula>
    </cfRule>
  </conditionalFormatting>
  <conditionalFormatting sqref="D157">
    <cfRule type="beginsWith" dxfId="638" priority="1750" stopIfTrue="1" operator="beginsWith" text="Functioning At Risk">
      <formula>LEFT(D157,LEN("Functioning At Risk"))="Functioning At Risk"</formula>
    </cfRule>
    <cfRule type="beginsWith" dxfId="637" priority="1751" stopIfTrue="1" operator="beginsWith" text="Not Functioning">
      <formula>LEFT(D157,LEN("Not Functioning"))="Not Functioning"</formula>
    </cfRule>
    <cfRule type="containsText" dxfId="636" priority="1752" operator="containsText" text="Functioning">
      <formula>NOT(ISERROR(SEARCH("Functioning",D157)))</formula>
    </cfRule>
  </conditionalFormatting>
  <conditionalFormatting sqref="B154">
    <cfRule type="beginsWith" dxfId="635" priority="1747" stopIfTrue="1" operator="beginsWith" text="Functioning At Risk">
      <formula>LEFT(B154,LEN("Functioning At Risk"))="Functioning At Risk"</formula>
    </cfRule>
    <cfRule type="beginsWith" dxfId="634" priority="1748" stopIfTrue="1" operator="beginsWith" text="Not Functioning">
      <formula>LEFT(B154,LEN("Not Functioning"))="Not Functioning"</formula>
    </cfRule>
    <cfRule type="containsText" dxfId="633" priority="1749" operator="containsText" text="Functioning">
      <formula>NOT(ISERROR(SEARCH("Functioning",B154)))</formula>
    </cfRule>
  </conditionalFormatting>
  <conditionalFormatting sqref="B158">
    <cfRule type="beginsWith" dxfId="632" priority="1738" stopIfTrue="1" operator="beginsWith" text="Functioning At Risk">
      <formula>LEFT(B158,LEN("Functioning At Risk"))="Functioning At Risk"</formula>
    </cfRule>
    <cfRule type="beginsWith" dxfId="631" priority="1739" stopIfTrue="1" operator="beginsWith" text="Not Functioning">
      <formula>LEFT(B158,LEN("Not Functioning"))="Not Functioning"</formula>
    </cfRule>
    <cfRule type="containsText" dxfId="630" priority="1740" operator="containsText" text="Functioning">
      <formula>NOT(ISERROR(SEARCH("Functioning",B158)))</formula>
    </cfRule>
  </conditionalFormatting>
  <conditionalFormatting sqref="C154">
    <cfRule type="beginsWith" dxfId="629" priority="1735" stopIfTrue="1" operator="beginsWith" text="Functioning At Risk">
      <formula>LEFT(C154,LEN("Functioning At Risk"))="Functioning At Risk"</formula>
    </cfRule>
    <cfRule type="beginsWith" dxfId="628" priority="1736" stopIfTrue="1" operator="beginsWith" text="Not Functioning">
      <formula>LEFT(C154,LEN("Not Functioning"))="Not Functioning"</formula>
    </cfRule>
    <cfRule type="containsText" dxfId="627" priority="1737" operator="containsText" text="Functioning">
      <formula>NOT(ISERROR(SEARCH("Functioning",C154)))</formula>
    </cfRule>
  </conditionalFormatting>
  <conditionalFormatting sqref="D154">
    <cfRule type="beginsWith" dxfId="626" priority="1732" stopIfTrue="1" operator="beginsWith" text="Functioning At Risk">
      <formula>LEFT(D154,LEN("Functioning At Risk"))="Functioning At Risk"</formula>
    </cfRule>
    <cfRule type="beginsWith" dxfId="625" priority="1733" stopIfTrue="1" operator="beginsWith" text="Not Functioning">
      <formula>LEFT(D154,LEN("Not Functioning"))="Not Functioning"</formula>
    </cfRule>
    <cfRule type="containsText" dxfId="624" priority="1734" operator="containsText" text="Functioning">
      <formula>NOT(ISERROR(SEARCH("Functioning",D154)))</formula>
    </cfRule>
  </conditionalFormatting>
  <conditionalFormatting sqref="B157">
    <cfRule type="beginsWith" dxfId="623" priority="1714" stopIfTrue="1" operator="beginsWith" text="Functioning At Risk">
      <formula>LEFT(B157,LEN("Functioning At Risk"))="Functioning At Risk"</formula>
    </cfRule>
    <cfRule type="beginsWith" dxfId="622" priority="1715" stopIfTrue="1" operator="beginsWith" text="Not Functioning">
      <formula>LEFT(B157,LEN("Not Functioning"))="Not Functioning"</formula>
    </cfRule>
    <cfRule type="containsText" dxfId="621" priority="1716" operator="containsText" text="Functioning">
      <formula>NOT(ISERROR(SEARCH("Functioning",B157)))</formula>
    </cfRule>
  </conditionalFormatting>
  <conditionalFormatting sqref="B155">
    <cfRule type="beginsWith" dxfId="620" priority="1711" stopIfTrue="1" operator="beginsWith" text="Functioning At Risk">
      <formula>LEFT(B155,LEN("Functioning At Risk"))="Functioning At Risk"</formula>
    </cfRule>
    <cfRule type="beginsWith" dxfId="619" priority="1712" stopIfTrue="1" operator="beginsWith" text="Not Functioning">
      <formula>LEFT(B155,LEN("Not Functioning"))="Not Functioning"</formula>
    </cfRule>
    <cfRule type="containsText" dxfId="618" priority="1713" operator="containsText" text="Functioning">
      <formula>NOT(ISERROR(SEARCH("Functioning",B155)))</formula>
    </cfRule>
  </conditionalFormatting>
  <conditionalFormatting sqref="I154:I158">
    <cfRule type="beginsWith" dxfId="617" priority="1708" stopIfTrue="1" operator="beginsWith" text="Functioning At Risk">
      <formula>LEFT(I154,LEN("Functioning At Risk"))="Functioning At Risk"</formula>
    </cfRule>
    <cfRule type="beginsWith" dxfId="616" priority="1709" stopIfTrue="1" operator="beginsWith" text="Not Functioning">
      <formula>LEFT(I154,LEN("Not Functioning"))="Not Functioning"</formula>
    </cfRule>
    <cfRule type="containsText" dxfId="615" priority="1710" operator="containsText" text="Functioning">
      <formula>NOT(ISERROR(SEARCH("Functioning",I154)))</formula>
    </cfRule>
  </conditionalFormatting>
  <conditionalFormatting sqref="A155">
    <cfRule type="beginsWith" dxfId="614" priority="1705" stopIfTrue="1" operator="beginsWith" text="Functioning At Risk">
      <formula>LEFT(A155,LEN("Functioning At Risk"))="Functioning At Risk"</formula>
    </cfRule>
    <cfRule type="beginsWith" dxfId="613" priority="1706" stopIfTrue="1" operator="beginsWith" text="Not Functioning">
      <formula>LEFT(A155,LEN("Not Functioning"))="Not Functioning"</formula>
    </cfRule>
    <cfRule type="containsText" dxfId="612" priority="1707" operator="containsText" text="Functioning">
      <formula>NOT(ISERROR(SEARCH("Functioning",A155)))</formula>
    </cfRule>
  </conditionalFormatting>
  <conditionalFormatting sqref="J158">
    <cfRule type="beginsWith" dxfId="611" priority="1702" stopIfTrue="1" operator="beginsWith" text="Functioning At Risk">
      <formula>LEFT(J158,LEN("Functioning At Risk"))="Functioning At Risk"</formula>
    </cfRule>
    <cfRule type="beginsWith" dxfId="610" priority="1703" stopIfTrue="1" operator="beginsWith" text="Not Functioning">
      <formula>LEFT(J158,LEN("Not Functioning"))="Not Functioning"</formula>
    </cfRule>
    <cfRule type="containsText" dxfId="609" priority="1704" operator="containsText" text="Functioning">
      <formula>NOT(ISERROR(SEARCH("Functioning",J158)))</formula>
    </cfRule>
  </conditionalFormatting>
  <conditionalFormatting sqref="J158">
    <cfRule type="beginsWith" dxfId="608" priority="1699" stopIfTrue="1" operator="beginsWith" text="Functioning At Risk">
      <formula>LEFT(J158,LEN("Functioning At Risk"))="Functioning At Risk"</formula>
    </cfRule>
    <cfRule type="beginsWith" dxfId="607" priority="1700" stopIfTrue="1" operator="beginsWith" text="Not Functioning">
      <formula>LEFT(J158,LEN("Not Functioning"))="Not Functioning"</formula>
    </cfRule>
    <cfRule type="containsText" dxfId="606" priority="1701" operator="containsText" text="Functioning">
      <formula>NOT(ISERROR(SEARCH("Functioning",J158)))</formula>
    </cfRule>
  </conditionalFormatting>
  <conditionalFormatting sqref="A192 C193:C194 D193:D195">
    <cfRule type="beginsWith" dxfId="605" priority="1696" stopIfTrue="1" operator="beginsWith" text="Functioning At Risk">
      <formula>LEFT(A192,LEN("Functioning At Risk"))="Functioning At Risk"</formula>
    </cfRule>
    <cfRule type="beginsWith" dxfId="604" priority="1697" stopIfTrue="1" operator="beginsWith" text="Not Functioning">
      <formula>LEFT(A192,LEN("Not Functioning"))="Not Functioning"</formula>
    </cfRule>
    <cfRule type="containsText" dxfId="603" priority="1698" operator="containsText" text="Functioning">
      <formula>NOT(ISERROR(SEARCH("Functioning",A192)))</formula>
    </cfRule>
  </conditionalFormatting>
  <conditionalFormatting sqref="J192:J195">
    <cfRule type="beginsWith" dxfId="602" priority="1693" stopIfTrue="1" operator="beginsWith" text="Functioning At Risk">
      <formula>LEFT(J192,LEN("Functioning At Risk"))="Functioning At Risk"</formula>
    </cfRule>
    <cfRule type="beginsWith" dxfId="601" priority="1694" stopIfTrue="1" operator="beginsWith" text="Not Functioning">
      <formula>LEFT(J192,LEN("Not Functioning"))="Not Functioning"</formula>
    </cfRule>
    <cfRule type="containsText" dxfId="600" priority="1695" operator="containsText" text="Functioning">
      <formula>NOT(ISERROR(SEARCH("Functioning",J192)))</formula>
    </cfRule>
  </conditionalFormatting>
  <conditionalFormatting sqref="D195">
    <cfRule type="beginsWith" dxfId="599" priority="1690" stopIfTrue="1" operator="beginsWith" text="Functioning At Risk">
      <formula>LEFT(D195,LEN("Functioning At Risk"))="Functioning At Risk"</formula>
    </cfRule>
    <cfRule type="beginsWith" dxfId="598" priority="1691" stopIfTrue="1" operator="beginsWith" text="Not Functioning">
      <formula>LEFT(D195,LEN("Not Functioning"))="Not Functioning"</formula>
    </cfRule>
    <cfRule type="containsText" dxfId="597" priority="1692" operator="containsText" text="Functioning">
      <formula>NOT(ISERROR(SEARCH("Functioning",D195)))</formula>
    </cfRule>
  </conditionalFormatting>
  <conditionalFormatting sqref="B192">
    <cfRule type="beginsWith" dxfId="596" priority="1687" stopIfTrue="1" operator="beginsWith" text="Functioning At Risk">
      <formula>LEFT(B192,LEN("Functioning At Risk"))="Functioning At Risk"</formula>
    </cfRule>
    <cfRule type="beginsWith" dxfId="595" priority="1688" stopIfTrue="1" operator="beginsWith" text="Not Functioning">
      <formula>LEFT(B192,LEN("Not Functioning"))="Not Functioning"</formula>
    </cfRule>
    <cfRule type="containsText" dxfId="594" priority="1689" operator="containsText" text="Functioning">
      <formula>NOT(ISERROR(SEARCH("Functioning",B192)))</formula>
    </cfRule>
  </conditionalFormatting>
  <conditionalFormatting sqref="B196">
    <cfRule type="beginsWith" dxfId="593" priority="1678" stopIfTrue="1" operator="beginsWith" text="Functioning At Risk">
      <formula>LEFT(B196,LEN("Functioning At Risk"))="Functioning At Risk"</formula>
    </cfRule>
    <cfRule type="beginsWith" dxfId="592" priority="1679" stopIfTrue="1" operator="beginsWith" text="Not Functioning">
      <formula>LEFT(B196,LEN("Not Functioning"))="Not Functioning"</formula>
    </cfRule>
    <cfRule type="containsText" dxfId="591" priority="1680" operator="containsText" text="Functioning">
      <formula>NOT(ISERROR(SEARCH("Functioning",B196)))</formula>
    </cfRule>
  </conditionalFormatting>
  <conditionalFormatting sqref="C192">
    <cfRule type="beginsWith" dxfId="590" priority="1675" stopIfTrue="1" operator="beginsWith" text="Functioning At Risk">
      <formula>LEFT(C192,LEN("Functioning At Risk"))="Functioning At Risk"</formula>
    </cfRule>
    <cfRule type="beginsWith" dxfId="589" priority="1676" stopIfTrue="1" operator="beginsWith" text="Not Functioning">
      <formula>LEFT(C192,LEN("Not Functioning"))="Not Functioning"</formula>
    </cfRule>
    <cfRule type="containsText" dxfId="588" priority="1677" operator="containsText" text="Functioning">
      <formula>NOT(ISERROR(SEARCH("Functioning",C192)))</formula>
    </cfRule>
  </conditionalFormatting>
  <conditionalFormatting sqref="D192">
    <cfRule type="beginsWith" dxfId="587" priority="1672" stopIfTrue="1" operator="beginsWith" text="Functioning At Risk">
      <formula>LEFT(D192,LEN("Functioning At Risk"))="Functioning At Risk"</formula>
    </cfRule>
    <cfRule type="beginsWith" dxfId="586" priority="1673" stopIfTrue="1" operator="beginsWith" text="Not Functioning">
      <formula>LEFT(D192,LEN("Not Functioning"))="Not Functioning"</formula>
    </cfRule>
    <cfRule type="containsText" dxfId="585" priority="1674" operator="containsText" text="Functioning">
      <formula>NOT(ISERROR(SEARCH("Functioning",D192)))</formula>
    </cfRule>
  </conditionalFormatting>
  <conditionalFormatting sqref="B195">
    <cfRule type="beginsWith" dxfId="584" priority="1654" stopIfTrue="1" operator="beginsWith" text="Functioning At Risk">
      <formula>LEFT(B195,LEN("Functioning At Risk"))="Functioning At Risk"</formula>
    </cfRule>
    <cfRule type="beginsWith" dxfId="583" priority="1655" stopIfTrue="1" operator="beginsWith" text="Not Functioning">
      <formula>LEFT(B195,LEN("Not Functioning"))="Not Functioning"</formula>
    </cfRule>
    <cfRule type="containsText" dxfId="582" priority="1656" operator="containsText" text="Functioning">
      <formula>NOT(ISERROR(SEARCH("Functioning",B195)))</formula>
    </cfRule>
  </conditionalFormatting>
  <conditionalFormatting sqref="B193">
    <cfRule type="beginsWith" dxfId="581" priority="1651" stopIfTrue="1" operator="beginsWith" text="Functioning At Risk">
      <formula>LEFT(B193,LEN("Functioning At Risk"))="Functioning At Risk"</formula>
    </cfRule>
    <cfRule type="beginsWith" dxfId="580" priority="1652" stopIfTrue="1" operator="beginsWith" text="Not Functioning">
      <formula>LEFT(B193,LEN("Not Functioning"))="Not Functioning"</formula>
    </cfRule>
    <cfRule type="containsText" dxfId="579" priority="1653" operator="containsText" text="Functioning">
      <formula>NOT(ISERROR(SEARCH("Functioning",B193)))</formula>
    </cfRule>
  </conditionalFormatting>
  <conditionalFormatting sqref="I192:I196">
    <cfRule type="beginsWith" dxfId="578" priority="1648" stopIfTrue="1" operator="beginsWith" text="Functioning At Risk">
      <formula>LEFT(I192,LEN("Functioning At Risk"))="Functioning At Risk"</formula>
    </cfRule>
    <cfRule type="beginsWith" dxfId="577" priority="1649" stopIfTrue="1" operator="beginsWith" text="Not Functioning">
      <formula>LEFT(I192,LEN("Not Functioning"))="Not Functioning"</formula>
    </cfRule>
    <cfRule type="containsText" dxfId="576" priority="1650" operator="containsText" text="Functioning">
      <formula>NOT(ISERROR(SEARCH("Functioning",I192)))</formula>
    </cfRule>
  </conditionalFormatting>
  <conditionalFormatting sqref="A193">
    <cfRule type="beginsWith" dxfId="575" priority="1645" stopIfTrue="1" operator="beginsWith" text="Functioning At Risk">
      <formula>LEFT(A193,LEN("Functioning At Risk"))="Functioning At Risk"</formula>
    </cfRule>
    <cfRule type="beginsWith" dxfId="574" priority="1646" stopIfTrue="1" operator="beginsWith" text="Not Functioning">
      <formula>LEFT(A193,LEN("Not Functioning"))="Not Functioning"</formula>
    </cfRule>
    <cfRule type="containsText" dxfId="573" priority="1647" operator="containsText" text="Functioning">
      <formula>NOT(ISERROR(SEARCH("Functioning",A193)))</formula>
    </cfRule>
  </conditionalFormatting>
  <conditionalFormatting sqref="J196">
    <cfRule type="beginsWith" dxfId="572" priority="1642" stopIfTrue="1" operator="beginsWith" text="Functioning At Risk">
      <formula>LEFT(J196,LEN("Functioning At Risk"))="Functioning At Risk"</formula>
    </cfRule>
    <cfRule type="beginsWith" dxfId="571" priority="1643" stopIfTrue="1" operator="beginsWith" text="Not Functioning">
      <formula>LEFT(J196,LEN("Not Functioning"))="Not Functioning"</formula>
    </cfRule>
    <cfRule type="containsText" dxfId="570" priority="1644" operator="containsText" text="Functioning">
      <formula>NOT(ISERROR(SEARCH("Functioning",J196)))</formula>
    </cfRule>
  </conditionalFormatting>
  <conditionalFormatting sqref="J196">
    <cfRule type="beginsWith" dxfId="569" priority="1639" stopIfTrue="1" operator="beginsWith" text="Functioning At Risk">
      <formula>LEFT(J196,LEN("Functioning At Risk"))="Functioning At Risk"</formula>
    </cfRule>
    <cfRule type="beginsWith" dxfId="568" priority="1640" stopIfTrue="1" operator="beginsWith" text="Not Functioning">
      <formula>LEFT(J196,LEN("Not Functioning"))="Not Functioning"</formula>
    </cfRule>
    <cfRule type="containsText" dxfId="567" priority="1641" operator="containsText" text="Functioning">
      <formula>NOT(ISERROR(SEARCH("Functioning",J196)))</formula>
    </cfRule>
  </conditionalFormatting>
  <conditionalFormatting sqref="A230 C231:C232 D231:D233">
    <cfRule type="beginsWith" dxfId="566" priority="1636" stopIfTrue="1" operator="beginsWith" text="Functioning At Risk">
      <formula>LEFT(A230,LEN("Functioning At Risk"))="Functioning At Risk"</formula>
    </cfRule>
    <cfRule type="beginsWith" dxfId="565" priority="1637" stopIfTrue="1" operator="beginsWith" text="Not Functioning">
      <formula>LEFT(A230,LEN("Not Functioning"))="Not Functioning"</formula>
    </cfRule>
    <cfRule type="containsText" dxfId="564" priority="1638" operator="containsText" text="Functioning">
      <formula>NOT(ISERROR(SEARCH("Functioning",A230)))</formula>
    </cfRule>
  </conditionalFormatting>
  <conditionalFormatting sqref="J230:J233">
    <cfRule type="beginsWith" dxfId="563" priority="1633" stopIfTrue="1" operator="beginsWith" text="Functioning At Risk">
      <formula>LEFT(J230,LEN("Functioning At Risk"))="Functioning At Risk"</formula>
    </cfRule>
    <cfRule type="beginsWith" dxfId="562" priority="1634" stopIfTrue="1" operator="beginsWith" text="Not Functioning">
      <formula>LEFT(J230,LEN("Not Functioning"))="Not Functioning"</formula>
    </cfRule>
    <cfRule type="containsText" dxfId="561" priority="1635" operator="containsText" text="Functioning">
      <formula>NOT(ISERROR(SEARCH("Functioning",J230)))</formula>
    </cfRule>
  </conditionalFormatting>
  <conditionalFormatting sqref="D233">
    <cfRule type="beginsWith" dxfId="560" priority="1630" stopIfTrue="1" operator="beginsWith" text="Functioning At Risk">
      <formula>LEFT(D233,LEN("Functioning At Risk"))="Functioning At Risk"</formula>
    </cfRule>
    <cfRule type="beginsWith" dxfId="559" priority="1631" stopIfTrue="1" operator="beginsWith" text="Not Functioning">
      <formula>LEFT(D233,LEN("Not Functioning"))="Not Functioning"</formula>
    </cfRule>
    <cfRule type="containsText" dxfId="558" priority="1632" operator="containsText" text="Functioning">
      <formula>NOT(ISERROR(SEARCH("Functioning",D233)))</formula>
    </cfRule>
  </conditionalFormatting>
  <conditionalFormatting sqref="B230">
    <cfRule type="beginsWith" dxfId="557" priority="1627" stopIfTrue="1" operator="beginsWith" text="Functioning At Risk">
      <formula>LEFT(B230,LEN("Functioning At Risk"))="Functioning At Risk"</formula>
    </cfRule>
    <cfRule type="beginsWith" dxfId="556" priority="1628" stopIfTrue="1" operator="beginsWith" text="Not Functioning">
      <formula>LEFT(B230,LEN("Not Functioning"))="Not Functioning"</formula>
    </cfRule>
    <cfRule type="containsText" dxfId="555" priority="1629" operator="containsText" text="Functioning">
      <formula>NOT(ISERROR(SEARCH("Functioning",B230)))</formula>
    </cfRule>
  </conditionalFormatting>
  <conditionalFormatting sqref="B234">
    <cfRule type="beginsWith" dxfId="554" priority="1618" stopIfTrue="1" operator="beginsWith" text="Functioning At Risk">
      <formula>LEFT(B234,LEN("Functioning At Risk"))="Functioning At Risk"</formula>
    </cfRule>
    <cfRule type="beginsWith" dxfId="553" priority="1619" stopIfTrue="1" operator="beginsWith" text="Not Functioning">
      <formula>LEFT(B234,LEN("Not Functioning"))="Not Functioning"</formula>
    </cfRule>
    <cfRule type="containsText" dxfId="552" priority="1620" operator="containsText" text="Functioning">
      <formula>NOT(ISERROR(SEARCH("Functioning",B234)))</formula>
    </cfRule>
  </conditionalFormatting>
  <conditionalFormatting sqref="C230">
    <cfRule type="beginsWith" dxfId="551" priority="1615" stopIfTrue="1" operator="beginsWith" text="Functioning At Risk">
      <formula>LEFT(C230,LEN("Functioning At Risk"))="Functioning At Risk"</formula>
    </cfRule>
    <cfRule type="beginsWith" dxfId="550" priority="1616" stopIfTrue="1" operator="beginsWith" text="Not Functioning">
      <formula>LEFT(C230,LEN("Not Functioning"))="Not Functioning"</formula>
    </cfRule>
    <cfRule type="containsText" dxfId="549" priority="1617" operator="containsText" text="Functioning">
      <formula>NOT(ISERROR(SEARCH("Functioning",C230)))</formula>
    </cfRule>
  </conditionalFormatting>
  <conditionalFormatting sqref="D230">
    <cfRule type="beginsWith" dxfId="548" priority="1612" stopIfTrue="1" operator="beginsWith" text="Functioning At Risk">
      <formula>LEFT(D230,LEN("Functioning At Risk"))="Functioning At Risk"</formula>
    </cfRule>
    <cfRule type="beginsWith" dxfId="547" priority="1613" stopIfTrue="1" operator="beginsWith" text="Not Functioning">
      <formula>LEFT(D230,LEN("Not Functioning"))="Not Functioning"</formula>
    </cfRule>
    <cfRule type="containsText" dxfId="546" priority="1614" operator="containsText" text="Functioning">
      <formula>NOT(ISERROR(SEARCH("Functioning",D230)))</formula>
    </cfRule>
  </conditionalFormatting>
  <conditionalFormatting sqref="B233">
    <cfRule type="beginsWith" dxfId="545" priority="1594" stopIfTrue="1" operator="beginsWith" text="Functioning At Risk">
      <formula>LEFT(B233,LEN("Functioning At Risk"))="Functioning At Risk"</formula>
    </cfRule>
    <cfRule type="beginsWith" dxfId="544" priority="1595" stopIfTrue="1" operator="beginsWith" text="Not Functioning">
      <formula>LEFT(B233,LEN("Not Functioning"))="Not Functioning"</formula>
    </cfRule>
    <cfRule type="containsText" dxfId="543" priority="1596" operator="containsText" text="Functioning">
      <formula>NOT(ISERROR(SEARCH("Functioning",B233)))</formula>
    </cfRule>
  </conditionalFormatting>
  <conditionalFormatting sqref="B231">
    <cfRule type="beginsWith" dxfId="542" priority="1591" stopIfTrue="1" operator="beginsWith" text="Functioning At Risk">
      <formula>LEFT(B231,LEN("Functioning At Risk"))="Functioning At Risk"</formula>
    </cfRule>
    <cfRule type="beginsWith" dxfId="541" priority="1592" stopIfTrue="1" operator="beginsWith" text="Not Functioning">
      <formula>LEFT(B231,LEN("Not Functioning"))="Not Functioning"</formula>
    </cfRule>
    <cfRule type="containsText" dxfId="540" priority="1593" operator="containsText" text="Functioning">
      <formula>NOT(ISERROR(SEARCH("Functioning",B231)))</formula>
    </cfRule>
  </conditionalFormatting>
  <conditionalFormatting sqref="I230:I234">
    <cfRule type="beginsWith" dxfId="539" priority="1588" stopIfTrue="1" operator="beginsWith" text="Functioning At Risk">
      <formula>LEFT(I230,LEN("Functioning At Risk"))="Functioning At Risk"</formula>
    </cfRule>
    <cfRule type="beginsWith" dxfId="538" priority="1589" stopIfTrue="1" operator="beginsWith" text="Not Functioning">
      <formula>LEFT(I230,LEN("Not Functioning"))="Not Functioning"</formula>
    </cfRule>
    <cfRule type="containsText" dxfId="537" priority="1590" operator="containsText" text="Functioning">
      <formula>NOT(ISERROR(SEARCH("Functioning",I230)))</formula>
    </cfRule>
  </conditionalFormatting>
  <conditionalFormatting sqref="A231">
    <cfRule type="beginsWith" dxfId="536" priority="1585" stopIfTrue="1" operator="beginsWith" text="Functioning At Risk">
      <formula>LEFT(A231,LEN("Functioning At Risk"))="Functioning At Risk"</formula>
    </cfRule>
    <cfRule type="beginsWith" dxfId="535" priority="1586" stopIfTrue="1" operator="beginsWith" text="Not Functioning">
      <formula>LEFT(A231,LEN("Not Functioning"))="Not Functioning"</formula>
    </cfRule>
    <cfRule type="containsText" dxfId="534" priority="1587" operator="containsText" text="Functioning">
      <formula>NOT(ISERROR(SEARCH("Functioning",A231)))</formula>
    </cfRule>
  </conditionalFormatting>
  <conditionalFormatting sqref="J234">
    <cfRule type="beginsWith" dxfId="533" priority="1582" stopIfTrue="1" operator="beginsWith" text="Functioning At Risk">
      <formula>LEFT(J234,LEN("Functioning At Risk"))="Functioning At Risk"</formula>
    </cfRule>
    <cfRule type="beginsWith" dxfId="532" priority="1583" stopIfTrue="1" operator="beginsWith" text="Not Functioning">
      <formula>LEFT(J234,LEN("Not Functioning"))="Not Functioning"</formula>
    </cfRule>
    <cfRule type="containsText" dxfId="531" priority="1584" operator="containsText" text="Functioning">
      <formula>NOT(ISERROR(SEARCH("Functioning",J234)))</formula>
    </cfRule>
  </conditionalFormatting>
  <conditionalFormatting sqref="J234">
    <cfRule type="beginsWith" dxfId="530" priority="1579" stopIfTrue="1" operator="beginsWith" text="Functioning At Risk">
      <formula>LEFT(J234,LEN("Functioning At Risk"))="Functioning At Risk"</formula>
    </cfRule>
    <cfRule type="beginsWith" dxfId="529" priority="1580" stopIfTrue="1" operator="beginsWith" text="Not Functioning">
      <formula>LEFT(J234,LEN("Not Functioning"))="Not Functioning"</formula>
    </cfRule>
    <cfRule type="containsText" dxfId="528" priority="1581" operator="containsText" text="Functioning">
      <formula>NOT(ISERROR(SEARCH("Functioning",J234)))</formula>
    </cfRule>
  </conditionalFormatting>
  <conditionalFormatting sqref="A268 C269:C270 D269:D271">
    <cfRule type="beginsWith" dxfId="527" priority="1576" stopIfTrue="1" operator="beginsWith" text="Functioning At Risk">
      <formula>LEFT(A268,LEN("Functioning At Risk"))="Functioning At Risk"</formula>
    </cfRule>
    <cfRule type="beginsWith" dxfId="526" priority="1577" stopIfTrue="1" operator="beginsWith" text="Not Functioning">
      <formula>LEFT(A268,LEN("Not Functioning"))="Not Functioning"</formula>
    </cfRule>
    <cfRule type="containsText" dxfId="525" priority="1578" operator="containsText" text="Functioning">
      <formula>NOT(ISERROR(SEARCH("Functioning",A268)))</formula>
    </cfRule>
  </conditionalFormatting>
  <conditionalFormatting sqref="J268:J271">
    <cfRule type="beginsWith" dxfId="524" priority="1573" stopIfTrue="1" operator="beginsWith" text="Functioning At Risk">
      <formula>LEFT(J268,LEN("Functioning At Risk"))="Functioning At Risk"</formula>
    </cfRule>
    <cfRule type="beginsWith" dxfId="523" priority="1574" stopIfTrue="1" operator="beginsWith" text="Not Functioning">
      <formula>LEFT(J268,LEN("Not Functioning"))="Not Functioning"</formula>
    </cfRule>
    <cfRule type="containsText" dxfId="522" priority="1575" operator="containsText" text="Functioning">
      <formula>NOT(ISERROR(SEARCH("Functioning",J268)))</formula>
    </cfRule>
  </conditionalFormatting>
  <conditionalFormatting sqref="D271">
    <cfRule type="beginsWith" dxfId="521" priority="1570" stopIfTrue="1" operator="beginsWith" text="Functioning At Risk">
      <formula>LEFT(D271,LEN("Functioning At Risk"))="Functioning At Risk"</formula>
    </cfRule>
    <cfRule type="beginsWith" dxfId="520" priority="1571" stopIfTrue="1" operator="beginsWith" text="Not Functioning">
      <formula>LEFT(D271,LEN("Not Functioning"))="Not Functioning"</formula>
    </cfRule>
    <cfRule type="containsText" dxfId="519" priority="1572" operator="containsText" text="Functioning">
      <formula>NOT(ISERROR(SEARCH("Functioning",D271)))</formula>
    </cfRule>
  </conditionalFormatting>
  <conditionalFormatting sqref="B268">
    <cfRule type="beginsWith" dxfId="518" priority="1567" stopIfTrue="1" operator="beginsWith" text="Functioning At Risk">
      <formula>LEFT(B268,LEN("Functioning At Risk"))="Functioning At Risk"</formula>
    </cfRule>
    <cfRule type="beginsWith" dxfId="517" priority="1568" stopIfTrue="1" operator="beginsWith" text="Not Functioning">
      <formula>LEFT(B268,LEN("Not Functioning"))="Not Functioning"</formula>
    </cfRule>
    <cfRule type="containsText" dxfId="516" priority="1569" operator="containsText" text="Functioning">
      <formula>NOT(ISERROR(SEARCH("Functioning",B268)))</formula>
    </cfRule>
  </conditionalFormatting>
  <conditionalFormatting sqref="B272">
    <cfRule type="beginsWith" dxfId="515" priority="1558" stopIfTrue="1" operator="beginsWith" text="Functioning At Risk">
      <formula>LEFT(B272,LEN("Functioning At Risk"))="Functioning At Risk"</formula>
    </cfRule>
    <cfRule type="beginsWith" dxfId="514" priority="1559" stopIfTrue="1" operator="beginsWith" text="Not Functioning">
      <formula>LEFT(B272,LEN("Not Functioning"))="Not Functioning"</formula>
    </cfRule>
    <cfRule type="containsText" dxfId="513" priority="1560" operator="containsText" text="Functioning">
      <formula>NOT(ISERROR(SEARCH("Functioning",B272)))</formula>
    </cfRule>
  </conditionalFormatting>
  <conditionalFormatting sqref="C268">
    <cfRule type="beginsWith" dxfId="512" priority="1555" stopIfTrue="1" operator="beginsWith" text="Functioning At Risk">
      <formula>LEFT(C268,LEN("Functioning At Risk"))="Functioning At Risk"</formula>
    </cfRule>
    <cfRule type="beginsWith" dxfId="511" priority="1556" stopIfTrue="1" operator="beginsWith" text="Not Functioning">
      <formula>LEFT(C268,LEN("Not Functioning"))="Not Functioning"</formula>
    </cfRule>
    <cfRule type="containsText" dxfId="510" priority="1557" operator="containsText" text="Functioning">
      <formula>NOT(ISERROR(SEARCH("Functioning",C268)))</formula>
    </cfRule>
  </conditionalFormatting>
  <conditionalFormatting sqref="D268">
    <cfRule type="beginsWith" dxfId="509" priority="1552" stopIfTrue="1" operator="beginsWith" text="Functioning At Risk">
      <formula>LEFT(D268,LEN("Functioning At Risk"))="Functioning At Risk"</formula>
    </cfRule>
    <cfRule type="beginsWith" dxfId="508" priority="1553" stopIfTrue="1" operator="beginsWith" text="Not Functioning">
      <formula>LEFT(D268,LEN("Not Functioning"))="Not Functioning"</formula>
    </cfRule>
    <cfRule type="containsText" dxfId="507" priority="1554" operator="containsText" text="Functioning">
      <formula>NOT(ISERROR(SEARCH("Functioning",D268)))</formula>
    </cfRule>
  </conditionalFormatting>
  <conditionalFormatting sqref="B271">
    <cfRule type="beginsWith" dxfId="506" priority="1534" stopIfTrue="1" operator="beginsWith" text="Functioning At Risk">
      <formula>LEFT(B271,LEN("Functioning At Risk"))="Functioning At Risk"</formula>
    </cfRule>
    <cfRule type="beginsWith" dxfId="505" priority="1535" stopIfTrue="1" operator="beginsWith" text="Not Functioning">
      <formula>LEFT(B271,LEN("Not Functioning"))="Not Functioning"</formula>
    </cfRule>
    <cfRule type="containsText" dxfId="504" priority="1536" operator="containsText" text="Functioning">
      <formula>NOT(ISERROR(SEARCH("Functioning",B271)))</formula>
    </cfRule>
  </conditionalFormatting>
  <conditionalFormatting sqref="B269">
    <cfRule type="beginsWith" dxfId="503" priority="1531" stopIfTrue="1" operator="beginsWith" text="Functioning At Risk">
      <formula>LEFT(B269,LEN("Functioning At Risk"))="Functioning At Risk"</formula>
    </cfRule>
    <cfRule type="beginsWith" dxfId="502" priority="1532" stopIfTrue="1" operator="beginsWith" text="Not Functioning">
      <formula>LEFT(B269,LEN("Not Functioning"))="Not Functioning"</formula>
    </cfRule>
    <cfRule type="containsText" dxfId="501" priority="1533" operator="containsText" text="Functioning">
      <formula>NOT(ISERROR(SEARCH("Functioning",B269)))</formula>
    </cfRule>
  </conditionalFormatting>
  <conditionalFormatting sqref="I268:I272">
    <cfRule type="beginsWith" dxfId="500" priority="1528" stopIfTrue="1" operator="beginsWith" text="Functioning At Risk">
      <formula>LEFT(I268,LEN("Functioning At Risk"))="Functioning At Risk"</formula>
    </cfRule>
    <cfRule type="beginsWith" dxfId="499" priority="1529" stopIfTrue="1" operator="beginsWith" text="Not Functioning">
      <formula>LEFT(I268,LEN("Not Functioning"))="Not Functioning"</formula>
    </cfRule>
    <cfRule type="containsText" dxfId="498" priority="1530" operator="containsText" text="Functioning">
      <formula>NOT(ISERROR(SEARCH("Functioning",I268)))</formula>
    </cfRule>
  </conditionalFormatting>
  <conditionalFormatting sqref="A269">
    <cfRule type="beginsWith" dxfId="497" priority="1525" stopIfTrue="1" operator="beginsWith" text="Functioning At Risk">
      <formula>LEFT(A269,LEN("Functioning At Risk"))="Functioning At Risk"</formula>
    </cfRule>
    <cfRule type="beginsWith" dxfId="496" priority="1526" stopIfTrue="1" operator="beginsWith" text="Not Functioning">
      <formula>LEFT(A269,LEN("Not Functioning"))="Not Functioning"</formula>
    </cfRule>
    <cfRule type="containsText" dxfId="495" priority="1527" operator="containsText" text="Functioning">
      <formula>NOT(ISERROR(SEARCH("Functioning",A269)))</formula>
    </cfRule>
  </conditionalFormatting>
  <conditionalFormatting sqref="J272">
    <cfRule type="beginsWith" dxfId="494" priority="1522" stopIfTrue="1" operator="beginsWith" text="Functioning At Risk">
      <formula>LEFT(J272,LEN("Functioning At Risk"))="Functioning At Risk"</formula>
    </cfRule>
    <cfRule type="beginsWith" dxfId="493" priority="1523" stopIfTrue="1" operator="beginsWith" text="Not Functioning">
      <formula>LEFT(J272,LEN("Not Functioning"))="Not Functioning"</formula>
    </cfRule>
    <cfRule type="containsText" dxfId="492" priority="1524" operator="containsText" text="Functioning">
      <formula>NOT(ISERROR(SEARCH("Functioning",J272)))</formula>
    </cfRule>
  </conditionalFormatting>
  <conditionalFormatting sqref="J272">
    <cfRule type="beginsWith" dxfId="491" priority="1519" stopIfTrue="1" operator="beginsWith" text="Functioning At Risk">
      <formula>LEFT(J272,LEN("Functioning At Risk"))="Functioning At Risk"</formula>
    </cfRule>
    <cfRule type="beginsWith" dxfId="490" priority="1520" stopIfTrue="1" operator="beginsWith" text="Not Functioning">
      <formula>LEFT(J272,LEN("Not Functioning"))="Not Functioning"</formula>
    </cfRule>
    <cfRule type="containsText" dxfId="489" priority="1521" operator="containsText" text="Functioning">
      <formula>NOT(ISERROR(SEARCH("Functioning",J272)))</formula>
    </cfRule>
  </conditionalFormatting>
  <conditionalFormatting sqref="B43">
    <cfRule type="beginsWith" dxfId="488" priority="1390" stopIfTrue="1" operator="beginsWith" text="Functioning At Risk">
      <formula>LEFT(B43,LEN("Functioning At Risk"))="Functioning At Risk"</formula>
    </cfRule>
    <cfRule type="beginsWith" dxfId="487" priority="1391" stopIfTrue="1" operator="beginsWith" text="Not Functioning">
      <formula>LEFT(B43,LEN("Not Functioning"))="Not Functioning"</formula>
    </cfRule>
    <cfRule type="containsText" dxfId="486" priority="1392" operator="containsText" text="Functioning">
      <formula>NOT(ISERROR(SEARCH("Functioning",B43)))</formula>
    </cfRule>
  </conditionalFormatting>
  <conditionalFormatting sqref="F9:F10">
    <cfRule type="cellIs" dxfId="485" priority="1277" operator="lessThan">
      <formula>0.7</formula>
    </cfRule>
    <cfRule type="cellIs" dxfId="484" priority="1278" operator="lessThanOrEqual">
      <formula>1</formula>
    </cfRule>
  </conditionalFormatting>
  <conditionalFormatting sqref="F9:F10">
    <cfRule type="cellIs" dxfId="483" priority="1276" operator="lessThan">
      <formula>0.3</formula>
    </cfRule>
  </conditionalFormatting>
  <conditionalFormatting sqref="H30">
    <cfRule type="cellIs" dxfId="482" priority="1139" operator="lessThan">
      <formula>0.7</formula>
    </cfRule>
    <cfRule type="cellIs" dxfId="481" priority="1140" operator="lessThanOrEqual">
      <formula>1</formula>
    </cfRule>
  </conditionalFormatting>
  <conditionalFormatting sqref="H30">
    <cfRule type="cellIs" dxfId="480" priority="1138" operator="lessThan">
      <formula>0.3</formula>
    </cfRule>
  </conditionalFormatting>
  <conditionalFormatting sqref="A4">
    <cfRule type="beginsWith" dxfId="479" priority="916" stopIfTrue="1" operator="beginsWith" text="Functioning At Risk">
      <formula>LEFT(A4,LEN("Functioning At Risk"))="Functioning At Risk"</formula>
    </cfRule>
    <cfRule type="beginsWith" dxfId="478" priority="917" stopIfTrue="1" operator="beginsWith" text="Not Functioning">
      <formula>LEFT(A4,LEN("Not Functioning"))="Not Functioning"</formula>
    </cfRule>
    <cfRule type="containsText" dxfId="477" priority="918" operator="containsText" text="Functioning">
      <formula>NOT(ISERROR(SEARCH("Functioning",A4)))</formula>
    </cfRule>
  </conditionalFormatting>
  <conditionalFormatting sqref="B4">
    <cfRule type="beginsWith" dxfId="476" priority="913" stopIfTrue="1" operator="beginsWith" text="Functioning At Risk">
      <formula>LEFT(B4,LEN("Functioning At Risk"))="Functioning At Risk"</formula>
    </cfRule>
    <cfRule type="beginsWith" dxfId="475" priority="914" stopIfTrue="1" operator="beginsWith" text="Not Functioning">
      <formula>LEFT(B4,LEN("Not Functioning"))="Not Functioning"</formula>
    </cfRule>
    <cfRule type="containsText" dxfId="474" priority="915" operator="containsText" text="Functioning">
      <formula>NOT(ISERROR(SEARCH("Functioning",B4)))</formula>
    </cfRule>
  </conditionalFormatting>
  <conditionalFormatting sqref="B42">
    <cfRule type="beginsWith" dxfId="473" priority="907" stopIfTrue="1" operator="beginsWith" text="Functioning At Risk">
      <formula>LEFT(B42,LEN("Functioning At Risk"))="Functioning At Risk"</formula>
    </cfRule>
    <cfRule type="beginsWith" dxfId="472" priority="908" stopIfTrue="1" operator="beginsWith" text="Not Functioning">
      <formula>LEFT(B42,LEN("Not Functioning"))="Not Functioning"</formula>
    </cfRule>
    <cfRule type="containsText" dxfId="471" priority="909" operator="containsText" text="Functioning">
      <formula>NOT(ISERROR(SEARCH("Functioning",B42)))</formula>
    </cfRule>
  </conditionalFormatting>
  <conditionalFormatting sqref="B80">
    <cfRule type="beginsWith" dxfId="470" priority="904" stopIfTrue="1" operator="beginsWith" text="Functioning At Risk">
      <formula>LEFT(B80,LEN("Functioning At Risk"))="Functioning At Risk"</formula>
    </cfRule>
    <cfRule type="beginsWith" dxfId="469" priority="905" stopIfTrue="1" operator="beginsWith" text="Not Functioning">
      <formula>LEFT(B80,LEN("Not Functioning"))="Not Functioning"</formula>
    </cfRule>
    <cfRule type="containsText" dxfId="468" priority="906" operator="containsText" text="Functioning">
      <formula>NOT(ISERROR(SEARCH("Functioning",B80)))</formula>
    </cfRule>
  </conditionalFormatting>
  <conditionalFormatting sqref="B118">
    <cfRule type="beginsWith" dxfId="467" priority="895" stopIfTrue="1" operator="beginsWith" text="Functioning At Risk">
      <formula>LEFT(B118,LEN("Functioning At Risk"))="Functioning At Risk"</formula>
    </cfRule>
    <cfRule type="beginsWith" dxfId="466" priority="896" stopIfTrue="1" operator="beginsWith" text="Not Functioning">
      <formula>LEFT(B118,LEN("Not Functioning"))="Not Functioning"</formula>
    </cfRule>
    <cfRule type="containsText" dxfId="465" priority="897" operator="containsText" text="Functioning">
      <formula>NOT(ISERROR(SEARCH("Functioning",B118)))</formula>
    </cfRule>
  </conditionalFormatting>
  <conditionalFormatting sqref="B270">
    <cfRule type="beginsWith" dxfId="464" priority="874" stopIfTrue="1" operator="beginsWith" text="Functioning At Risk">
      <formula>LEFT(B270,LEN("Functioning At Risk"))="Functioning At Risk"</formula>
    </cfRule>
    <cfRule type="beginsWith" dxfId="463" priority="875" stopIfTrue="1" operator="beginsWith" text="Not Functioning">
      <formula>LEFT(B270,LEN("Not Functioning"))="Not Functioning"</formula>
    </cfRule>
    <cfRule type="containsText" dxfId="462" priority="876" operator="containsText" text="Functioning">
      <formula>NOT(ISERROR(SEARCH("Functioning",B270)))</formula>
    </cfRule>
  </conditionalFormatting>
  <conditionalFormatting sqref="B156">
    <cfRule type="beginsWith" dxfId="461" priority="889" stopIfTrue="1" operator="beginsWith" text="Functioning At Risk">
      <formula>LEFT(B156,LEN("Functioning At Risk"))="Functioning At Risk"</formula>
    </cfRule>
    <cfRule type="beginsWith" dxfId="460" priority="890" stopIfTrue="1" operator="beginsWith" text="Not Functioning">
      <formula>LEFT(B156,LEN("Not Functioning"))="Not Functioning"</formula>
    </cfRule>
    <cfRule type="containsText" dxfId="459" priority="891" operator="containsText" text="Functioning">
      <formula>NOT(ISERROR(SEARCH("Functioning",B156)))</formula>
    </cfRule>
  </conditionalFormatting>
  <conditionalFormatting sqref="B194">
    <cfRule type="beginsWith" dxfId="458" priority="886" stopIfTrue="1" operator="beginsWith" text="Functioning At Risk">
      <formula>LEFT(B194,LEN("Functioning At Risk"))="Functioning At Risk"</formula>
    </cfRule>
    <cfRule type="beginsWith" dxfId="457" priority="887" stopIfTrue="1" operator="beginsWith" text="Not Functioning">
      <formula>LEFT(B194,LEN("Not Functioning"))="Not Functioning"</formula>
    </cfRule>
    <cfRule type="containsText" dxfId="456" priority="888" operator="containsText" text="Functioning">
      <formula>NOT(ISERROR(SEARCH("Functioning",B194)))</formula>
    </cfRule>
  </conditionalFormatting>
  <conditionalFormatting sqref="B308">
    <cfRule type="beginsWith" dxfId="455" priority="868" stopIfTrue="1" operator="beginsWith" text="Functioning At Risk">
      <formula>LEFT(B308,LEN("Functioning At Risk"))="Functioning At Risk"</formula>
    </cfRule>
    <cfRule type="beginsWith" dxfId="454" priority="869" stopIfTrue="1" operator="beginsWith" text="Not Functioning">
      <formula>LEFT(B308,LEN("Not Functioning"))="Not Functioning"</formula>
    </cfRule>
    <cfRule type="containsText" dxfId="453" priority="870" operator="containsText" text="Functioning">
      <formula>NOT(ISERROR(SEARCH("Functioning",B308)))</formula>
    </cfRule>
  </conditionalFormatting>
  <conditionalFormatting sqref="B232">
    <cfRule type="beginsWith" dxfId="452" priority="880" stopIfTrue="1" operator="beginsWith" text="Functioning At Risk">
      <formula>LEFT(B232,LEN("Functioning At Risk"))="Functioning At Risk"</formula>
    </cfRule>
    <cfRule type="beginsWith" dxfId="451" priority="881" stopIfTrue="1" operator="beginsWith" text="Not Functioning">
      <formula>LEFT(B232,LEN("Not Functioning"))="Not Functioning"</formula>
    </cfRule>
    <cfRule type="containsText" dxfId="450" priority="882" operator="containsText" text="Functioning">
      <formula>NOT(ISERROR(SEARCH("Functioning",B232)))</formula>
    </cfRule>
  </conditionalFormatting>
  <conditionalFormatting sqref="B346">
    <cfRule type="beginsWith" dxfId="449" priority="862" stopIfTrue="1" operator="beginsWith" text="Functioning At Risk">
      <formula>LEFT(B346,LEN("Functioning At Risk"))="Functioning At Risk"</formula>
    </cfRule>
    <cfRule type="beginsWith" dxfId="448" priority="863" stopIfTrue="1" operator="beginsWith" text="Not Functioning">
      <formula>LEFT(B346,LEN("Not Functioning"))="Not Functioning"</formula>
    </cfRule>
    <cfRule type="containsText" dxfId="447" priority="864" operator="containsText" text="Functioning">
      <formula>NOT(ISERROR(SEARCH("Functioning",B346)))</formula>
    </cfRule>
  </conditionalFormatting>
  <conditionalFormatting sqref="F12">
    <cfRule type="cellIs" dxfId="446" priority="716" operator="lessThan">
      <formula>0.7</formula>
    </cfRule>
    <cfRule type="cellIs" dxfId="445" priority="717" operator="lessThanOrEqual">
      <formula>1</formula>
    </cfRule>
  </conditionalFormatting>
  <conditionalFormatting sqref="F12">
    <cfRule type="cellIs" dxfId="444" priority="715" operator="lessThan">
      <formula>0.3</formula>
    </cfRule>
  </conditionalFormatting>
  <conditionalFormatting sqref="A42">
    <cfRule type="beginsWith" dxfId="443" priority="619" stopIfTrue="1" operator="beginsWith" text="Functioning At Risk">
      <formula>LEFT(A42,LEN("Functioning At Risk"))="Functioning At Risk"</formula>
    </cfRule>
    <cfRule type="beginsWith" dxfId="442" priority="620" stopIfTrue="1" operator="beginsWith" text="Not Functioning">
      <formula>LEFT(A42,LEN("Not Functioning"))="Not Functioning"</formula>
    </cfRule>
    <cfRule type="containsText" dxfId="441" priority="621" operator="containsText" text="Functioning">
      <formula>NOT(ISERROR(SEARCH("Functioning",A42)))</formula>
    </cfRule>
  </conditionalFormatting>
  <conditionalFormatting sqref="A80">
    <cfRule type="beginsWith" dxfId="440" priority="616" stopIfTrue="1" operator="beginsWith" text="Functioning At Risk">
      <formula>LEFT(A80,LEN("Functioning At Risk"))="Functioning At Risk"</formula>
    </cfRule>
    <cfRule type="beginsWith" dxfId="439" priority="617" stopIfTrue="1" operator="beginsWith" text="Not Functioning">
      <formula>LEFT(A80,LEN("Not Functioning"))="Not Functioning"</formula>
    </cfRule>
    <cfRule type="containsText" dxfId="438" priority="618" operator="containsText" text="Functioning">
      <formula>NOT(ISERROR(SEARCH("Functioning",A80)))</formula>
    </cfRule>
  </conditionalFormatting>
  <conditionalFormatting sqref="A118">
    <cfRule type="beginsWith" dxfId="437" priority="613" stopIfTrue="1" operator="beginsWith" text="Functioning At Risk">
      <formula>LEFT(A118,LEN("Functioning At Risk"))="Functioning At Risk"</formula>
    </cfRule>
    <cfRule type="beginsWith" dxfId="436" priority="614" stopIfTrue="1" operator="beginsWith" text="Not Functioning">
      <formula>LEFT(A118,LEN("Not Functioning"))="Not Functioning"</formula>
    </cfRule>
    <cfRule type="containsText" dxfId="435" priority="615" operator="containsText" text="Functioning">
      <formula>NOT(ISERROR(SEARCH("Functioning",A118)))</formula>
    </cfRule>
  </conditionalFormatting>
  <conditionalFormatting sqref="A156">
    <cfRule type="beginsWith" dxfId="434" priority="610" stopIfTrue="1" operator="beginsWith" text="Functioning At Risk">
      <formula>LEFT(A156,LEN("Functioning At Risk"))="Functioning At Risk"</formula>
    </cfRule>
    <cfRule type="beginsWith" dxfId="433" priority="611" stopIfTrue="1" operator="beginsWith" text="Not Functioning">
      <formula>LEFT(A156,LEN("Not Functioning"))="Not Functioning"</formula>
    </cfRule>
    <cfRule type="containsText" dxfId="432" priority="612" operator="containsText" text="Functioning">
      <formula>NOT(ISERROR(SEARCH("Functioning",A156)))</formula>
    </cfRule>
  </conditionalFormatting>
  <conditionalFormatting sqref="A194">
    <cfRule type="beginsWith" dxfId="431" priority="607" stopIfTrue="1" operator="beginsWith" text="Functioning At Risk">
      <formula>LEFT(A194,LEN("Functioning At Risk"))="Functioning At Risk"</formula>
    </cfRule>
    <cfRule type="beginsWith" dxfId="430" priority="608" stopIfTrue="1" operator="beginsWith" text="Not Functioning">
      <formula>LEFT(A194,LEN("Not Functioning"))="Not Functioning"</formula>
    </cfRule>
    <cfRule type="containsText" dxfId="429" priority="609" operator="containsText" text="Functioning">
      <formula>NOT(ISERROR(SEARCH("Functioning",A194)))</formula>
    </cfRule>
  </conditionalFormatting>
  <conditionalFormatting sqref="A232">
    <cfRule type="beginsWith" dxfId="428" priority="604" stopIfTrue="1" operator="beginsWith" text="Functioning At Risk">
      <formula>LEFT(A232,LEN("Functioning At Risk"))="Functioning At Risk"</formula>
    </cfRule>
    <cfRule type="beginsWith" dxfId="427" priority="605" stopIfTrue="1" operator="beginsWith" text="Not Functioning">
      <formula>LEFT(A232,LEN("Not Functioning"))="Not Functioning"</formula>
    </cfRule>
    <cfRule type="containsText" dxfId="426" priority="606" operator="containsText" text="Functioning">
      <formula>NOT(ISERROR(SEARCH("Functioning",A232)))</formula>
    </cfRule>
  </conditionalFormatting>
  <conditionalFormatting sqref="A270">
    <cfRule type="beginsWith" dxfId="425" priority="601" stopIfTrue="1" operator="beginsWith" text="Functioning At Risk">
      <formula>LEFT(A270,LEN("Functioning At Risk"))="Functioning At Risk"</formula>
    </cfRule>
    <cfRule type="beginsWith" dxfId="424" priority="602" stopIfTrue="1" operator="beginsWith" text="Not Functioning">
      <formula>LEFT(A270,LEN("Not Functioning"))="Not Functioning"</formula>
    </cfRule>
    <cfRule type="containsText" dxfId="423" priority="603" operator="containsText" text="Functioning">
      <formula>NOT(ISERROR(SEARCH("Functioning",A270)))</formula>
    </cfRule>
  </conditionalFormatting>
  <conditionalFormatting sqref="A308">
    <cfRule type="beginsWith" dxfId="422" priority="598" stopIfTrue="1" operator="beginsWith" text="Functioning At Risk">
      <formula>LEFT(A308,LEN("Functioning At Risk"))="Functioning At Risk"</formula>
    </cfRule>
    <cfRule type="beginsWith" dxfId="421" priority="599" stopIfTrue="1" operator="beginsWith" text="Not Functioning">
      <formula>LEFT(A308,LEN("Not Functioning"))="Not Functioning"</formula>
    </cfRule>
    <cfRule type="containsText" dxfId="420" priority="600" operator="containsText" text="Functioning">
      <formula>NOT(ISERROR(SEARCH("Functioning",A308)))</formula>
    </cfRule>
  </conditionalFormatting>
  <conditionalFormatting sqref="A346">
    <cfRule type="beginsWith" dxfId="419" priority="595" stopIfTrue="1" operator="beginsWith" text="Functioning At Risk">
      <formula>LEFT(A346,LEN("Functioning At Risk"))="Functioning At Risk"</formula>
    </cfRule>
    <cfRule type="beginsWith" dxfId="418" priority="596" stopIfTrue="1" operator="beginsWith" text="Not Functioning">
      <formula>LEFT(A346,LEN("Not Functioning"))="Not Functioning"</formula>
    </cfRule>
    <cfRule type="containsText" dxfId="417" priority="597" operator="containsText" text="Functioning">
      <formula>NOT(ISERROR(SEARCH("Functioning",A346)))</formula>
    </cfRule>
  </conditionalFormatting>
  <conditionalFormatting sqref="E41:E43">
    <cfRule type="beginsWith" dxfId="416" priority="592" stopIfTrue="1" operator="beginsWith" text="Functioning At Risk">
      <formula>LEFT(E41,LEN("Functioning At Risk"))="Functioning At Risk"</formula>
    </cfRule>
    <cfRule type="beginsWith" dxfId="415" priority="593" stopIfTrue="1" operator="beginsWith" text="Not Functioning">
      <formula>LEFT(E41,LEN("Not Functioning"))="Not Functioning"</formula>
    </cfRule>
    <cfRule type="containsText" dxfId="414" priority="594" operator="containsText" text="Functioning">
      <formula>NOT(ISERROR(SEARCH("Functioning",E41)))</formula>
    </cfRule>
  </conditionalFormatting>
  <conditionalFormatting sqref="E40:F40">
    <cfRule type="beginsWith" dxfId="413" priority="589" stopIfTrue="1" operator="beginsWith" text="Functioning At Risk">
      <formula>LEFT(E40,LEN("Functioning At Risk"))="Functioning At Risk"</formula>
    </cfRule>
    <cfRule type="beginsWith" dxfId="412" priority="590" stopIfTrue="1" operator="beginsWith" text="Not Functioning">
      <formula>LEFT(E40,LEN("Not Functioning"))="Not Functioning"</formula>
    </cfRule>
    <cfRule type="containsText" dxfId="411" priority="591" operator="containsText" text="Functioning">
      <formula>NOT(ISERROR(SEARCH("Functioning",E40)))</formula>
    </cfRule>
  </conditionalFormatting>
  <conditionalFormatting sqref="E79:E81">
    <cfRule type="beginsWith" dxfId="410" priority="586" stopIfTrue="1" operator="beginsWith" text="Functioning At Risk">
      <formula>LEFT(E79,LEN("Functioning At Risk"))="Functioning At Risk"</formula>
    </cfRule>
    <cfRule type="beginsWith" dxfId="409" priority="587" stopIfTrue="1" operator="beginsWith" text="Not Functioning">
      <formula>LEFT(E79,LEN("Not Functioning"))="Not Functioning"</formula>
    </cfRule>
    <cfRule type="containsText" dxfId="408" priority="588" operator="containsText" text="Functioning">
      <formula>NOT(ISERROR(SEARCH("Functioning",E79)))</formula>
    </cfRule>
  </conditionalFormatting>
  <conditionalFormatting sqref="E78:F78">
    <cfRule type="beginsWith" dxfId="407" priority="583" stopIfTrue="1" operator="beginsWith" text="Functioning At Risk">
      <formula>LEFT(E78,LEN("Functioning At Risk"))="Functioning At Risk"</formula>
    </cfRule>
    <cfRule type="beginsWith" dxfId="406" priority="584" stopIfTrue="1" operator="beginsWith" text="Not Functioning">
      <formula>LEFT(E78,LEN("Not Functioning"))="Not Functioning"</formula>
    </cfRule>
    <cfRule type="containsText" dxfId="405" priority="585" operator="containsText" text="Functioning">
      <formula>NOT(ISERROR(SEARCH("Functioning",E78)))</formula>
    </cfRule>
  </conditionalFormatting>
  <conditionalFormatting sqref="E117:E119">
    <cfRule type="beginsWith" dxfId="404" priority="580" stopIfTrue="1" operator="beginsWith" text="Functioning At Risk">
      <formula>LEFT(E117,LEN("Functioning At Risk"))="Functioning At Risk"</formula>
    </cfRule>
    <cfRule type="beginsWith" dxfId="403" priority="581" stopIfTrue="1" operator="beginsWith" text="Not Functioning">
      <formula>LEFT(E117,LEN("Not Functioning"))="Not Functioning"</formula>
    </cfRule>
    <cfRule type="containsText" dxfId="402" priority="582" operator="containsText" text="Functioning">
      <formula>NOT(ISERROR(SEARCH("Functioning",E117)))</formula>
    </cfRule>
  </conditionalFormatting>
  <conditionalFormatting sqref="E116:F116">
    <cfRule type="beginsWith" dxfId="401" priority="577" stopIfTrue="1" operator="beginsWith" text="Functioning At Risk">
      <formula>LEFT(E116,LEN("Functioning At Risk"))="Functioning At Risk"</formula>
    </cfRule>
    <cfRule type="beginsWith" dxfId="400" priority="578" stopIfTrue="1" operator="beginsWith" text="Not Functioning">
      <formula>LEFT(E116,LEN("Not Functioning"))="Not Functioning"</formula>
    </cfRule>
    <cfRule type="containsText" dxfId="399" priority="579" operator="containsText" text="Functioning">
      <formula>NOT(ISERROR(SEARCH("Functioning",E116)))</formula>
    </cfRule>
  </conditionalFormatting>
  <conditionalFormatting sqref="E155:E157">
    <cfRule type="beginsWith" dxfId="398" priority="574" stopIfTrue="1" operator="beginsWith" text="Functioning At Risk">
      <formula>LEFT(E155,LEN("Functioning At Risk"))="Functioning At Risk"</formula>
    </cfRule>
    <cfRule type="beginsWith" dxfId="397" priority="575" stopIfTrue="1" operator="beginsWith" text="Not Functioning">
      <formula>LEFT(E155,LEN("Not Functioning"))="Not Functioning"</formula>
    </cfRule>
    <cfRule type="containsText" dxfId="396" priority="576" operator="containsText" text="Functioning">
      <formula>NOT(ISERROR(SEARCH("Functioning",E155)))</formula>
    </cfRule>
  </conditionalFormatting>
  <conditionalFormatting sqref="E154:F154">
    <cfRule type="beginsWith" dxfId="395" priority="571" stopIfTrue="1" operator="beginsWith" text="Functioning At Risk">
      <formula>LEFT(E154,LEN("Functioning At Risk"))="Functioning At Risk"</formula>
    </cfRule>
    <cfRule type="beginsWith" dxfId="394" priority="572" stopIfTrue="1" operator="beginsWith" text="Not Functioning">
      <formula>LEFT(E154,LEN("Not Functioning"))="Not Functioning"</formula>
    </cfRule>
    <cfRule type="containsText" dxfId="393" priority="573" operator="containsText" text="Functioning">
      <formula>NOT(ISERROR(SEARCH("Functioning",E154)))</formula>
    </cfRule>
  </conditionalFormatting>
  <conditionalFormatting sqref="E193:E195">
    <cfRule type="beginsWith" dxfId="392" priority="568" stopIfTrue="1" operator="beginsWith" text="Functioning At Risk">
      <formula>LEFT(E193,LEN("Functioning At Risk"))="Functioning At Risk"</formula>
    </cfRule>
    <cfRule type="beginsWith" dxfId="391" priority="569" stopIfTrue="1" operator="beginsWith" text="Not Functioning">
      <formula>LEFT(E193,LEN("Not Functioning"))="Not Functioning"</formula>
    </cfRule>
    <cfRule type="containsText" dxfId="390" priority="570" operator="containsText" text="Functioning">
      <formula>NOT(ISERROR(SEARCH("Functioning",E193)))</formula>
    </cfRule>
  </conditionalFormatting>
  <conditionalFormatting sqref="E192:F192">
    <cfRule type="beginsWith" dxfId="389" priority="565" stopIfTrue="1" operator="beginsWith" text="Functioning At Risk">
      <formula>LEFT(E192,LEN("Functioning At Risk"))="Functioning At Risk"</formula>
    </cfRule>
    <cfRule type="beginsWith" dxfId="388" priority="566" stopIfTrue="1" operator="beginsWith" text="Not Functioning">
      <formula>LEFT(E192,LEN("Not Functioning"))="Not Functioning"</formula>
    </cfRule>
    <cfRule type="containsText" dxfId="387" priority="567" operator="containsText" text="Functioning">
      <formula>NOT(ISERROR(SEARCH("Functioning",E192)))</formula>
    </cfRule>
  </conditionalFormatting>
  <conditionalFormatting sqref="E231:E233">
    <cfRule type="beginsWith" dxfId="386" priority="562" stopIfTrue="1" operator="beginsWith" text="Functioning At Risk">
      <formula>LEFT(E231,LEN("Functioning At Risk"))="Functioning At Risk"</formula>
    </cfRule>
    <cfRule type="beginsWith" dxfId="385" priority="563" stopIfTrue="1" operator="beginsWith" text="Not Functioning">
      <formula>LEFT(E231,LEN("Not Functioning"))="Not Functioning"</formula>
    </cfRule>
    <cfRule type="containsText" dxfId="384" priority="564" operator="containsText" text="Functioning">
      <formula>NOT(ISERROR(SEARCH("Functioning",E231)))</formula>
    </cfRule>
  </conditionalFormatting>
  <conditionalFormatting sqref="E230:F230">
    <cfRule type="beginsWith" dxfId="383" priority="559" stopIfTrue="1" operator="beginsWith" text="Functioning At Risk">
      <formula>LEFT(E230,LEN("Functioning At Risk"))="Functioning At Risk"</formula>
    </cfRule>
    <cfRule type="beginsWith" dxfId="382" priority="560" stopIfTrue="1" operator="beginsWith" text="Not Functioning">
      <formula>LEFT(E230,LEN("Not Functioning"))="Not Functioning"</formula>
    </cfRule>
    <cfRule type="containsText" dxfId="381" priority="561" operator="containsText" text="Functioning">
      <formula>NOT(ISERROR(SEARCH("Functioning",E230)))</formula>
    </cfRule>
  </conditionalFormatting>
  <conditionalFormatting sqref="E269:E271">
    <cfRule type="beginsWith" dxfId="380" priority="556" stopIfTrue="1" operator="beginsWith" text="Functioning At Risk">
      <formula>LEFT(E269,LEN("Functioning At Risk"))="Functioning At Risk"</formula>
    </cfRule>
    <cfRule type="beginsWith" dxfId="379" priority="557" stopIfTrue="1" operator="beginsWith" text="Not Functioning">
      <formula>LEFT(E269,LEN("Not Functioning"))="Not Functioning"</formula>
    </cfRule>
    <cfRule type="containsText" dxfId="378" priority="558" operator="containsText" text="Functioning">
      <formula>NOT(ISERROR(SEARCH("Functioning",E269)))</formula>
    </cfRule>
  </conditionalFormatting>
  <conditionalFormatting sqref="E268:F268">
    <cfRule type="beginsWith" dxfId="377" priority="553" stopIfTrue="1" operator="beginsWith" text="Functioning At Risk">
      <formula>LEFT(E268,LEN("Functioning At Risk"))="Functioning At Risk"</formula>
    </cfRule>
    <cfRule type="beginsWith" dxfId="376" priority="554" stopIfTrue="1" operator="beginsWith" text="Not Functioning">
      <formula>LEFT(E268,LEN("Not Functioning"))="Not Functioning"</formula>
    </cfRule>
    <cfRule type="containsText" dxfId="375" priority="555" operator="containsText" text="Functioning">
      <formula>NOT(ISERROR(SEARCH("Functioning",E268)))</formula>
    </cfRule>
  </conditionalFormatting>
  <conditionalFormatting sqref="E307:E309">
    <cfRule type="beginsWith" dxfId="374" priority="550" stopIfTrue="1" operator="beginsWith" text="Functioning At Risk">
      <formula>LEFT(E307,LEN("Functioning At Risk"))="Functioning At Risk"</formula>
    </cfRule>
    <cfRule type="beginsWith" dxfId="373" priority="551" stopIfTrue="1" operator="beginsWith" text="Not Functioning">
      <formula>LEFT(E307,LEN("Not Functioning"))="Not Functioning"</formula>
    </cfRule>
    <cfRule type="containsText" dxfId="372" priority="552" operator="containsText" text="Functioning">
      <formula>NOT(ISERROR(SEARCH("Functioning",E307)))</formula>
    </cfRule>
  </conditionalFormatting>
  <conditionalFormatting sqref="E306:F306">
    <cfRule type="beginsWith" dxfId="371" priority="547" stopIfTrue="1" operator="beginsWith" text="Functioning At Risk">
      <formula>LEFT(E306,LEN("Functioning At Risk"))="Functioning At Risk"</formula>
    </cfRule>
    <cfRule type="beginsWith" dxfId="370" priority="548" stopIfTrue="1" operator="beginsWith" text="Not Functioning">
      <formula>LEFT(E306,LEN("Not Functioning"))="Not Functioning"</formula>
    </cfRule>
    <cfRule type="containsText" dxfId="369" priority="549" operator="containsText" text="Functioning">
      <formula>NOT(ISERROR(SEARCH("Functioning",E306)))</formula>
    </cfRule>
  </conditionalFormatting>
  <conditionalFormatting sqref="E345:E347">
    <cfRule type="beginsWith" dxfId="368" priority="544" stopIfTrue="1" operator="beginsWith" text="Functioning At Risk">
      <formula>LEFT(E345,LEN("Functioning At Risk"))="Functioning At Risk"</formula>
    </cfRule>
    <cfRule type="beginsWith" dxfId="367" priority="545" stopIfTrue="1" operator="beginsWith" text="Not Functioning">
      <formula>LEFT(E345,LEN("Not Functioning"))="Not Functioning"</formula>
    </cfRule>
    <cfRule type="containsText" dxfId="366" priority="546" operator="containsText" text="Functioning">
      <formula>NOT(ISERROR(SEARCH("Functioning",E345)))</formula>
    </cfRule>
  </conditionalFormatting>
  <conditionalFormatting sqref="E344:F344">
    <cfRule type="beginsWith" dxfId="365" priority="541" stopIfTrue="1" operator="beginsWith" text="Functioning At Risk">
      <formula>LEFT(E344,LEN("Functioning At Risk"))="Functioning At Risk"</formula>
    </cfRule>
    <cfRule type="beginsWith" dxfId="364" priority="542" stopIfTrue="1" operator="beginsWith" text="Not Functioning">
      <formula>LEFT(E344,LEN("Not Functioning"))="Not Functioning"</formula>
    </cfRule>
    <cfRule type="containsText" dxfId="363" priority="543" operator="containsText" text="Functioning">
      <formula>NOT(ISERROR(SEARCH("Functioning",E344)))</formula>
    </cfRule>
  </conditionalFormatting>
  <conditionalFormatting sqref="A46 E46:J46">
    <cfRule type="beginsWith" dxfId="362" priority="355" stopIfTrue="1" operator="beginsWith" text="Functioning At Risk">
      <formula>LEFT(A46,LEN("Functioning At Risk"))="Functioning At Risk"</formula>
    </cfRule>
    <cfRule type="beginsWith" dxfId="361" priority="356" stopIfTrue="1" operator="beginsWith" text="Not Functioning">
      <formula>LEFT(A46,LEN("Not Functioning"))="Not Functioning"</formula>
    </cfRule>
    <cfRule type="containsText" dxfId="360" priority="357" operator="containsText" text="Functioning">
      <formula>NOT(ISERROR(SEARCH("Functioning",A46)))</formula>
    </cfRule>
  </conditionalFormatting>
  <conditionalFormatting sqref="B46:C46">
    <cfRule type="beginsWith" dxfId="359" priority="352" stopIfTrue="1" operator="beginsWith" text="Functioning At Risk">
      <formula>LEFT(B46,LEN("Functioning At Risk"))="Functioning At Risk"</formula>
    </cfRule>
    <cfRule type="beginsWith" dxfId="358" priority="353" stopIfTrue="1" operator="beginsWith" text="Not Functioning">
      <formula>LEFT(B46,LEN("Not Functioning"))="Not Functioning"</formula>
    </cfRule>
    <cfRule type="containsText" dxfId="357" priority="354" operator="containsText" text="Functioning">
      <formula>NOT(ISERROR(SEARCH("Functioning",B46)))</formula>
    </cfRule>
  </conditionalFormatting>
  <conditionalFormatting sqref="I47:J47 I48:I68 I74">
    <cfRule type="beginsWith" dxfId="356" priority="349" stopIfTrue="1" operator="beginsWith" text="Functioning At Risk">
      <formula>LEFT(I47,LEN("Functioning At Risk"))="Functioning At Risk"</formula>
    </cfRule>
    <cfRule type="beginsWith" dxfId="355" priority="350" stopIfTrue="1" operator="beginsWith" text="Not Functioning">
      <formula>LEFT(I47,LEN("Not Functioning"))="Not Functioning"</formula>
    </cfRule>
    <cfRule type="containsText" dxfId="354" priority="351" stopIfTrue="1" operator="containsText" text="Functioning">
      <formula>NOT(ISERROR(SEARCH("Functioning",I47)))</formula>
    </cfRule>
  </conditionalFormatting>
  <conditionalFormatting sqref="F65:H67 F74:H74 F49:H49 G47:H48 F59:F63 H59:H64 F51:H58 G50:H50 F69:G72 F73 F75 G68">
    <cfRule type="cellIs" dxfId="353" priority="347" operator="lessThan">
      <formula>0.7</formula>
    </cfRule>
    <cfRule type="cellIs" dxfId="352" priority="348" operator="lessThanOrEqual">
      <formula>1</formula>
    </cfRule>
  </conditionalFormatting>
  <conditionalFormatting sqref="F74:H74 F49:H49 G47:H48 F65:H67 F59:F63 H59:H64 F51:H58 G50:H50 F69:G72 F73 F75 G68">
    <cfRule type="cellIs" dxfId="351" priority="346" operator="lessThan">
      <formula>0.3</formula>
    </cfRule>
  </conditionalFormatting>
  <conditionalFormatting sqref="F47">
    <cfRule type="cellIs" dxfId="350" priority="344" operator="lessThan">
      <formula>0.7</formula>
    </cfRule>
    <cfRule type="cellIs" dxfId="349" priority="345" operator="lessThanOrEqual">
      <formula>1</formula>
    </cfRule>
  </conditionalFormatting>
  <conditionalFormatting sqref="F47">
    <cfRule type="cellIs" dxfId="348" priority="343" operator="lessThan">
      <formula>0.3</formula>
    </cfRule>
  </conditionalFormatting>
  <conditionalFormatting sqref="H68">
    <cfRule type="cellIs" dxfId="347" priority="341" operator="lessThan">
      <formula>0.7</formula>
    </cfRule>
    <cfRule type="cellIs" dxfId="346" priority="342" operator="lessThanOrEqual">
      <formula>1</formula>
    </cfRule>
  </conditionalFormatting>
  <conditionalFormatting sqref="H68">
    <cfRule type="cellIs" dxfId="345" priority="340" operator="lessThan">
      <formula>0.3</formula>
    </cfRule>
  </conditionalFormatting>
  <conditionalFormatting sqref="F50">
    <cfRule type="cellIs" dxfId="344" priority="338" operator="lessThan">
      <formula>0.7</formula>
    </cfRule>
    <cfRule type="cellIs" dxfId="343" priority="339" operator="lessThanOrEqual">
      <formula>1</formula>
    </cfRule>
  </conditionalFormatting>
  <conditionalFormatting sqref="F50">
    <cfRule type="cellIs" dxfId="342" priority="337" operator="lessThan">
      <formula>0.3</formula>
    </cfRule>
  </conditionalFormatting>
  <conditionalFormatting sqref="A84 E84:J84">
    <cfRule type="beginsWith" dxfId="341" priority="334" stopIfTrue="1" operator="beginsWith" text="Functioning At Risk">
      <formula>LEFT(A84,LEN("Functioning At Risk"))="Functioning At Risk"</formula>
    </cfRule>
    <cfRule type="beginsWith" dxfId="340" priority="335" stopIfTrue="1" operator="beginsWith" text="Not Functioning">
      <formula>LEFT(A84,LEN("Not Functioning"))="Not Functioning"</formula>
    </cfRule>
    <cfRule type="containsText" dxfId="339" priority="336" operator="containsText" text="Functioning">
      <formula>NOT(ISERROR(SEARCH("Functioning",A84)))</formula>
    </cfRule>
  </conditionalFormatting>
  <conditionalFormatting sqref="B84:C84">
    <cfRule type="beginsWith" dxfId="338" priority="331" stopIfTrue="1" operator="beginsWith" text="Functioning At Risk">
      <formula>LEFT(B84,LEN("Functioning At Risk"))="Functioning At Risk"</formula>
    </cfRule>
    <cfRule type="beginsWith" dxfId="337" priority="332" stopIfTrue="1" operator="beginsWith" text="Not Functioning">
      <formula>LEFT(B84,LEN("Not Functioning"))="Not Functioning"</formula>
    </cfRule>
    <cfRule type="containsText" dxfId="336" priority="333" operator="containsText" text="Functioning">
      <formula>NOT(ISERROR(SEARCH("Functioning",B84)))</formula>
    </cfRule>
  </conditionalFormatting>
  <conditionalFormatting sqref="I85:J85 I86:I106 I112">
    <cfRule type="beginsWith" dxfId="335" priority="328" stopIfTrue="1" operator="beginsWith" text="Functioning At Risk">
      <formula>LEFT(I85,LEN("Functioning At Risk"))="Functioning At Risk"</formula>
    </cfRule>
    <cfRule type="beginsWith" dxfId="334" priority="329" stopIfTrue="1" operator="beginsWith" text="Not Functioning">
      <formula>LEFT(I85,LEN("Not Functioning"))="Not Functioning"</formula>
    </cfRule>
    <cfRule type="containsText" dxfId="333" priority="330" stopIfTrue="1" operator="containsText" text="Functioning">
      <formula>NOT(ISERROR(SEARCH("Functioning",I85)))</formula>
    </cfRule>
  </conditionalFormatting>
  <conditionalFormatting sqref="F103:H105 F112:H112 F87:H87 G85:H86 F97:F101 H97:H102 F89:H96 G88:H88 F107:G110 F111 F113 G106">
    <cfRule type="cellIs" dxfId="332" priority="326" operator="lessThan">
      <formula>0.7</formula>
    </cfRule>
    <cfRule type="cellIs" dxfId="331" priority="327" operator="lessThanOrEqual">
      <formula>1</formula>
    </cfRule>
  </conditionalFormatting>
  <conditionalFormatting sqref="F112:H112 F87:H87 G85:H86 F103:H105 F97:F101 H97:H102 F89:H96 G88:H88 F107:G110 F111 F113 G106">
    <cfRule type="cellIs" dxfId="330" priority="325" operator="lessThan">
      <formula>0.3</formula>
    </cfRule>
  </conditionalFormatting>
  <conditionalFormatting sqref="F85">
    <cfRule type="cellIs" dxfId="329" priority="323" operator="lessThan">
      <formula>0.7</formula>
    </cfRule>
    <cfRule type="cellIs" dxfId="328" priority="324" operator="lessThanOrEqual">
      <formula>1</formula>
    </cfRule>
  </conditionalFormatting>
  <conditionalFormatting sqref="F85">
    <cfRule type="cellIs" dxfId="327" priority="322" operator="lessThan">
      <formula>0.3</formula>
    </cfRule>
  </conditionalFormatting>
  <conditionalFormatting sqref="H106">
    <cfRule type="cellIs" dxfId="326" priority="320" operator="lessThan">
      <formula>0.7</formula>
    </cfRule>
    <cfRule type="cellIs" dxfId="325" priority="321" operator="lessThanOrEqual">
      <formula>1</formula>
    </cfRule>
  </conditionalFormatting>
  <conditionalFormatting sqref="H106">
    <cfRule type="cellIs" dxfId="324" priority="319" operator="lessThan">
      <formula>0.3</formula>
    </cfRule>
  </conditionalFormatting>
  <conditionalFormatting sqref="F88">
    <cfRule type="cellIs" dxfId="323" priority="317" operator="lessThan">
      <formula>0.7</formula>
    </cfRule>
    <cfRule type="cellIs" dxfId="322" priority="318" operator="lessThanOrEqual">
      <formula>1</formula>
    </cfRule>
  </conditionalFormatting>
  <conditionalFormatting sqref="F88">
    <cfRule type="cellIs" dxfId="321" priority="316" operator="lessThan">
      <formula>0.3</formula>
    </cfRule>
  </conditionalFormatting>
  <conditionalFormatting sqref="A122 E122:J122">
    <cfRule type="beginsWith" dxfId="320" priority="313" stopIfTrue="1" operator="beginsWith" text="Functioning At Risk">
      <formula>LEFT(A122,LEN("Functioning At Risk"))="Functioning At Risk"</formula>
    </cfRule>
    <cfRule type="beginsWith" dxfId="319" priority="314" stopIfTrue="1" operator="beginsWith" text="Not Functioning">
      <formula>LEFT(A122,LEN("Not Functioning"))="Not Functioning"</formula>
    </cfRule>
    <cfRule type="containsText" dxfId="318" priority="315" operator="containsText" text="Functioning">
      <formula>NOT(ISERROR(SEARCH("Functioning",A122)))</formula>
    </cfRule>
  </conditionalFormatting>
  <conditionalFormatting sqref="B122:C122">
    <cfRule type="beginsWith" dxfId="317" priority="310" stopIfTrue="1" operator="beginsWith" text="Functioning At Risk">
      <formula>LEFT(B122,LEN("Functioning At Risk"))="Functioning At Risk"</formula>
    </cfRule>
    <cfRule type="beginsWith" dxfId="316" priority="311" stopIfTrue="1" operator="beginsWith" text="Not Functioning">
      <formula>LEFT(B122,LEN("Not Functioning"))="Not Functioning"</formula>
    </cfRule>
    <cfRule type="containsText" dxfId="315" priority="312" operator="containsText" text="Functioning">
      <formula>NOT(ISERROR(SEARCH("Functioning",B122)))</formula>
    </cfRule>
  </conditionalFormatting>
  <conditionalFormatting sqref="I123:J123 I124:I144 I150">
    <cfRule type="beginsWith" dxfId="314" priority="307" stopIfTrue="1" operator="beginsWith" text="Functioning At Risk">
      <formula>LEFT(I123,LEN("Functioning At Risk"))="Functioning At Risk"</formula>
    </cfRule>
    <cfRule type="beginsWith" dxfId="313" priority="308" stopIfTrue="1" operator="beginsWith" text="Not Functioning">
      <formula>LEFT(I123,LEN("Not Functioning"))="Not Functioning"</formula>
    </cfRule>
    <cfRule type="containsText" dxfId="312" priority="309" stopIfTrue="1" operator="containsText" text="Functioning">
      <formula>NOT(ISERROR(SEARCH("Functioning",I123)))</formula>
    </cfRule>
  </conditionalFormatting>
  <conditionalFormatting sqref="F141:H143 F150:H150 F125:H125 G123:H124 F135:F139 H135:H140 F127:H134 G126:H126 F145:G148 F149 F151 G144">
    <cfRule type="cellIs" dxfId="311" priority="305" operator="lessThan">
      <formula>0.7</formula>
    </cfRule>
    <cfRule type="cellIs" dxfId="310" priority="306" operator="lessThanOrEqual">
      <formula>1</formula>
    </cfRule>
  </conditionalFormatting>
  <conditionalFormatting sqref="F150:H150 F125:H125 G123:H124 F141:H143 F135:F139 H135:H140 F127:H134 G126:H126 F145:G148 F149 F151 G144">
    <cfRule type="cellIs" dxfId="309" priority="304" operator="lessThan">
      <formula>0.3</formula>
    </cfRule>
  </conditionalFormatting>
  <conditionalFormatting sqref="F123">
    <cfRule type="cellIs" dxfId="308" priority="302" operator="lessThan">
      <formula>0.7</formula>
    </cfRule>
    <cfRule type="cellIs" dxfId="307" priority="303" operator="lessThanOrEqual">
      <formula>1</formula>
    </cfRule>
  </conditionalFormatting>
  <conditionalFormatting sqref="F123">
    <cfRule type="cellIs" dxfId="306" priority="301" operator="lessThan">
      <formula>0.3</formula>
    </cfRule>
  </conditionalFormatting>
  <conditionalFormatting sqref="H144">
    <cfRule type="cellIs" dxfId="305" priority="299" operator="lessThan">
      <formula>0.7</formula>
    </cfRule>
    <cfRule type="cellIs" dxfId="304" priority="300" operator="lessThanOrEqual">
      <formula>1</formula>
    </cfRule>
  </conditionalFormatting>
  <conditionalFormatting sqref="H144">
    <cfRule type="cellIs" dxfId="303" priority="298" operator="lessThan">
      <formula>0.3</formula>
    </cfRule>
  </conditionalFormatting>
  <conditionalFormatting sqref="F126">
    <cfRule type="cellIs" dxfId="302" priority="296" operator="lessThan">
      <formula>0.7</formula>
    </cfRule>
    <cfRule type="cellIs" dxfId="301" priority="297" operator="lessThanOrEqual">
      <formula>1</formula>
    </cfRule>
  </conditionalFormatting>
  <conditionalFormatting sqref="F126">
    <cfRule type="cellIs" dxfId="300" priority="295" operator="lessThan">
      <formula>0.3</formula>
    </cfRule>
  </conditionalFormatting>
  <conditionalFormatting sqref="A160 E160:J160">
    <cfRule type="beginsWith" dxfId="299" priority="292" stopIfTrue="1" operator="beginsWith" text="Functioning At Risk">
      <formula>LEFT(A160,LEN("Functioning At Risk"))="Functioning At Risk"</formula>
    </cfRule>
    <cfRule type="beginsWith" dxfId="298" priority="293" stopIfTrue="1" operator="beginsWith" text="Not Functioning">
      <formula>LEFT(A160,LEN("Not Functioning"))="Not Functioning"</formula>
    </cfRule>
    <cfRule type="containsText" dxfId="297" priority="294" operator="containsText" text="Functioning">
      <formula>NOT(ISERROR(SEARCH("Functioning",A160)))</formula>
    </cfRule>
  </conditionalFormatting>
  <conditionalFormatting sqref="B160:C160">
    <cfRule type="beginsWith" dxfId="296" priority="289" stopIfTrue="1" operator="beginsWith" text="Functioning At Risk">
      <formula>LEFT(B160,LEN("Functioning At Risk"))="Functioning At Risk"</formula>
    </cfRule>
    <cfRule type="beginsWith" dxfId="295" priority="290" stopIfTrue="1" operator="beginsWith" text="Not Functioning">
      <formula>LEFT(B160,LEN("Not Functioning"))="Not Functioning"</formula>
    </cfRule>
    <cfRule type="containsText" dxfId="294" priority="291" operator="containsText" text="Functioning">
      <formula>NOT(ISERROR(SEARCH("Functioning",B160)))</formula>
    </cfRule>
  </conditionalFormatting>
  <conditionalFormatting sqref="I161:J161 I162:I182 I188">
    <cfRule type="beginsWith" dxfId="293" priority="286" stopIfTrue="1" operator="beginsWith" text="Functioning At Risk">
      <formula>LEFT(I161,LEN("Functioning At Risk"))="Functioning At Risk"</formula>
    </cfRule>
    <cfRule type="beginsWith" dxfId="292" priority="287" stopIfTrue="1" operator="beginsWith" text="Not Functioning">
      <formula>LEFT(I161,LEN("Not Functioning"))="Not Functioning"</formula>
    </cfRule>
    <cfRule type="containsText" dxfId="291" priority="288" stopIfTrue="1" operator="containsText" text="Functioning">
      <formula>NOT(ISERROR(SEARCH("Functioning",I161)))</formula>
    </cfRule>
  </conditionalFormatting>
  <conditionalFormatting sqref="F179:H181 F188:H188 F163:H163 G161:H162 F173:F177 H173:H178 F165:H172 G164:H164 F182:G186 F187 F189">
    <cfRule type="cellIs" dxfId="290" priority="284" operator="lessThan">
      <formula>0.7</formula>
    </cfRule>
    <cfRule type="cellIs" dxfId="289" priority="285" operator="lessThanOrEqual">
      <formula>1</formula>
    </cfRule>
  </conditionalFormatting>
  <conditionalFormatting sqref="F188:H188 F163:H163 G161:H162 F179:H181 F173:F177 H173:H178 F165:H172 G164:H164 F182:G186 F187 F189">
    <cfRule type="cellIs" dxfId="288" priority="283" operator="lessThan">
      <formula>0.3</formula>
    </cfRule>
  </conditionalFormatting>
  <conditionalFormatting sqref="F161">
    <cfRule type="cellIs" dxfId="287" priority="281" operator="lessThan">
      <formula>0.7</formula>
    </cfRule>
    <cfRule type="cellIs" dxfId="286" priority="282" operator="lessThanOrEqual">
      <formula>1</formula>
    </cfRule>
  </conditionalFormatting>
  <conditionalFormatting sqref="F161">
    <cfRule type="cellIs" dxfId="285" priority="280" operator="lessThan">
      <formula>0.3</formula>
    </cfRule>
  </conditionalFormatting>
  <conditionalFormatting sqref="H182">
    <cfRule type="cellIs" dxfId="284" priority="278" operator="lessThan">
      <formula>0.7</formula>
    </cfRule>
    <cfRule type="cellIs" dxfId="283" priority="279" operator="lessThanOrEqual">
      <formula>1</formula>
    </cfRule>
  </conditionalFormatting>
  <conditionalFormatting sqref="H182">
    <cfRule type="cellIs" dxfId="282" priority="277" operator="lessThan">
      <formula>0.3</formula>
    </cfRule>
  </conditionalFormatting>
  <conditionalFormatting sqref="F164">
    <cfRule type="cellIs" dxfId="281" priority="275" operator="lessThan">
      <formula>0.7</formula>
    </cfRule>
    <cfRule type="cellIs" dxfId="280" priority="276" operator="lessThanOrEqual">
      <formula>1</formula>
    </cfRule>
  </conditionalFormatting>
  <conditionalFormatting sqref="F164">
    <cfRule type="cellIs" dxfId="279" priority="274" operator="lessThan">
      <formula>0.3</formula>
    </cfRule>
  </conditionalFormatting>
  <conditionalFormatting sqref="A198 E198:J198">
    <cfRule type="beginsWith" dxfId="278" priority="271" stopIfTrue="1" operator="beginsWith" text="Functioning At Risk">
      <formula>LEFT(A198,LEN("Functioning At Risk"))="Functioning At Risk"</formula>
    </cfRule>
    <cfRule type="beginsWith" dxfId="277" priority="272" stopIfTrue="1" operator="beginsWith" text="Not Functioning">
      <formula>LEFT(A198,LEN("Not Functioning"))="Not Functioning"</formula>
    </cfRule>
    <cfRule type="containsText" dxfId="276" priority="273" operator="containsText" text="Functioning">
      <formula>NOT(ISERROR(SEARCH("Functioning",A198)))</formula>
    </cfRule>
  </conditionalFormatting>
  <conditionalFormatting sqref="B198:C198">
    <cfRule type="beginsWith" dxfId="275" priority="268" stopIfTrue="1" operator="beginsWith" text="Functioning At Risk">
      <formula>LEFT(B198,LEN("Functioning At Risk"))="Functioning At Risk"</formula>
    </cfRule>
    <cfRule type="beginsWith" dxfId="274" priority="269" stopIfTrue="1" operator="beginsWith" text="Not Functioning">
      <formula>LEFT(B198,LEN("Not Functioning"))="Not Functioning"</formula>
    </cfRule>
    <cfRule type="containsText" dxfId="273" priority="270" operator="containsText" text="Functioning">
      <formula>NOT(ISERROR(SEARCH("Functioning",B198)))</formula>
    </cfRule>
  </conditionalFormatting>
  <conditionalFormatting sqref="I199:J199 I200:I220 I226">
    <cfRule type="beginsWith" dxfId="272" priority="265" stopIfTrue="1" operator="beginsWith" text="Functioning At Risk">
      <formula>LEFT(I199,LEN("Functioning At Risk"))="Functioning At Risk"</formula>
    </cfRule>
    <cfRule type="beginsWith" dxfId="271" priority="266" stopIfTrue="1" operator="beginsWith" text="Not Functioning">
      <formula>LEFT(I199,LEN("Not Functioning"))="Not Functioning"</formula>
    </cfRule>
    <cfRule type="containsText" dxfId="270" priority="267" stopIfTrue="1" operator="containsText" text="Functioning">
      <formula>NOT(ISERROR(SEARCH("Functioning",I199)))</formula>
    </cfRule>
  </conditionalFormatting>
  <conditionalFormatting sqref="F217:H219 F226:H226 F201:H201 G199:H200 F211:F215 H211:H216 F203:H210 G202:H202 F221:G224 F225 F227 G220">
    <cfRule type="cellIs" dxfId="269" priority="263" operator="lessThan">
      <formula>0.7</formula>
    </cfRule>
    <cfRule type="cellIs" dxfId="268" priority="264" operator="lessThanOrEqual">
      <formula>1</formula>
    </cfRule>
  </conditionalFormatting>
  <conditionalFormatting sqref="F226:H226 F201:H201 G199:H200 F217:H219 F211:F215 H211:H216 F203:H210 G202:H202 F221:G224 F225 F227 G220">
    <cfRule type="cellIs" dxfId="267" priority="262" operator="lessThan">
      <formula>0.3</formula>
    </cfRule>
  </conditionalFormatting>
  <conditionalFormatting sqref="F199">
    <cfRule type="cellIs" dxfId="266" priority="260" operator="lessThan">
      <formula>0.7</formula>
    </cfRule>
    <cfRule type="cellIs" dxfId="265" priority="261" operator="lessThanOrEqual">
      <formula>1</formula>
    </cfRule>
  </conditionalFormatting>
  <conditionalFormatting sqref="F199">
    <cfRule type="cellIs" dxfId="264" priority="259" operator="lessThan">
      <formula>0.3</formula>
    </cfRule>
  </conditionalFormatting>
  <conditionalFormatting sqref="H220">
    <cfRule type="cellIs" dxfId="263" priority="257" operator="lessThan">
      <formula>0.7</formula>
    </cfRule>
    <cfRule type="cellIs" dxfId="262" priority="258" operator="lessThanOrEqual">
      <formula>1</formula>
    </cfRule>
  </conditionalFormatting>
  <conditionalFormatting sqref="H220">
    <cfRule type="cellIs" dxfId="261" priority="256" operator="lessThan">
      <formula>0.3</formula>
    </cfRule>
  </conditionalFormatting>
  <conditionalFormatting sqref="F202">
    <cfRule type="cellIs" dxfId="260" priority="254" operator="lessThan">
      <formula>0.7</formula>
    </cfRule>
    <cfRule type="cellIs" dxfId="259" priority="255" operator="lessThanOrEqual">
      <formula>1</formula>
    </cfRule>
  </conditionalFormatting>
  <conditionalFormatting sqref="F202">
    <cfRule type="cellIs" dxfId="258" priority="253" operator="lessThan">
      <formula>0.3</formula>
    </cfRule>
  </conditionalFormatting>
  <conditionalFormatting sqref="A236 E236:J236">
    <cfRule type="beginsWith" dxfId="257" priority="250" stopIfTrue="1" operator="beginsWith" text="Functioning At Risk">
      <formula>LEFT(A236,LEN("Functioning At Risk"))="Functioning At Risk"</formula>
    </cfRule>
    <cfRule type="beginsWith" dxfId="256" priority="251" stopIfTrue="1" operator="beginsWith" text="Not Functioning">
      <formula>LEFT(A236,LEN("Not Functioning"))="Not Functioning"</formula>
    </cfRule>
    <cfRule type="containsText" dxfId="255" priority="252" operator="containsText" text="Functioning">
      <formula>NOT(ISERROR(SEARCH("Functioning",A236)))</formula>
    </cfRule>
  </conditionalFormatting>
  <conditionalFormatting sqref="B236:C236">
    <cfRule type="beginsWith" dxfId="254" priority="247" stopIfTrue="1" operator="beginsWith" text="Functioning At Risk">
      <formula>LEFT(B236,LEN("Functioning At Risk"))="Functioning At Risk"</formula>
    </cfRule>
    <cfRule type="beginsWith" dxfId="253" priority="248" stopIfTrue="1" operator="beginsWith" text="Not Functioning">
      <formula>LEFT(B236,LEN("Not Functioning"))="Not Functioning"</formula>
    </cfRule>
    <cfRule type="containsText" dxfId="252" priority="249" operator="containsText" text="Functioning">
      <formula>NOT(ISERROR(SEARCH("Functioning",B236)))</formula>
    </cfRule>
  </conditionalFormatting>
  <conditionalFormatting sqref="I237:J237 I238:I258 I264">
    <cfRule type="beginsWith" dxfId="251" priority="244" stopIfTrue="1" operator="beginsWith" text="Functioning At Risk">
      <formula>LEFT(I237,LEN("Functioning At Risk"))="Functioning At Risk"</formula>
    </cfRule>
    <cfRule type="beginsWith" dxfId="250" priority="245" stopIfTrue="1" operator="beginsWith" text="Not Functioning">
      <formula>LEFT(I237,LEN("Not Functioning"))="Not Functioning"</formula>
    </cfRule>
    <cfRule type="containsText" dxfId="249" priority="246" stopIfTrue="1" operator="containsText" text="Functioning">
      <formula>NOT(ISERROR(SEARCH("Functioning",I237)))</formula>
    </cfRule>
  </conditionalFormatting>
  <conditionalFormatting sqref="F255:H257 F264:H264 F239:H239 G237:H238 F249:F253 H249:H254 F241:H248 G240:H240 F259:G262 F263 F265 G258">
    <cfRule type="cellIs" dxfId="248" priority="242" operator="lessThan">
      <formula>0.7</formula>
    </cfRule>
    <cfRule type="cellIs" dxfId="247" priority="243" operator="lessThanOrEqual">
      <formula>1</formula>
    </cfRule>
  </conditionalFormatting>
  <conditionalFormatting sqref="F264:H264 F239:H239 G237:H238 F255:H257 F249:F253 H249:H254 F241:H248 G240:H240 F259:G262 F263 F265 G258">
    <cfRule type="cellIs" dxfId="246" priority="241" operator="lessThan">
      <formula>0.3</formula>
    </cfRule>
  </conditionalFormatting>
  <conditionalFormatting sqref="F237">
    <cfRule type="cellIs" dxfId="245" priority="239" operator="lessThan">
      <formula>0.7</formula>
    </cfRule>
    <cfRule type="cellIs" dxfId="244" priority="240" operator="lessThanOrEqual">
      <formula>1</formula>
    </cfRule>
  </conditionalFormatting>
  <conditionalFormatting sqref="F237">
    <cfRule type="cellIs" dxfId="243" priority="238" operator="lessThan">
      <formula>0.3</formula>
    </cfRule>
  </conditionalFormatting>
  <conditionalFormatting sqref="H258">
    <cfRule type="cellIs" dxfId="242" priority="236" operator="lessThan">
      <formula>0.7</formula>
    </cfRule>
    <cfRule type="cellIs" dxfId="241" priority="237" operator="lessThanOrEqual">
      <formula>1</formula>
    </cfRule>
  </conditionalFormatting>
  <conditionalFormatting sqref="H258">
    <cfRule type="cellIs" dxfId="240" priority="235" operator="lessThan">
      <formula>0.3</formula>
    </cfRule>
  </conditionalFormatting>
  <conditionalFormatting sqref="F240">
    <cfRule type="cellIs" dxfId="239" priority="233" operator="lessThan">
      <formula>0.7</formula>
    </cfRule>
    <cfRule type="cellIs" dxfId="238" priority="234" operator="lessThanOrEqual">
      <formula>1</formula>
    </cfRule>
  </conditionalFormatting>
  <conditionalFormatting sqref="F240">
    <cfRule type="cellIs" dxfId="237" priority="232" operator="lessThan">
      <formula>0.3</formula>
    </cfRule>
  </conditionalFormatting>
  <conditionalFormatting sqref="A274 E274:J274">
    <cfRule type="beginsWith" dxfId="236" priority="229" stopIfTrue="1" operator="beginsWith" text="Functioning At Risk">
      <formula>LEFT(A274,LEN("Functioning At Risk"))="Functioning At Risk"</formula>
    </cfRule>
    <cfRule type="beginsWith" dxfId="235" priority="230" stopIfTrue="1" operator="beginsWith" text="Not Functioning">
      <formula>LEFT(A274,LEN("Not Functioning"))="Not Functioning"</formula>
    </cfRule>
    <cfRule type="containsText" dxfId="234" priority="231" operator="containsText" text="Functioning">
      <formula>NOT(ISERROR(SEARCH("Functioning",A274)))</formula>
    </cfRule>
  </conditionalFormatting>
  <conditionalFormatting sqref="B274:C274">
    <cfRule type="beginsWith" dxfId="233" priority="226" stopIfTrue="1" operator="beginsWith" text="Functioning At Risk">
      <formula>LEFT(B274,LEN("Functioning At Risk"))="Functioning At Risk"</formula>
    </cfRule>
    <cfRule type="beginsWith" dxfId="232" priority="227" stopIfTrue="1" operator="beginsWith" text="Not Functioning">
      <formula>LEFT(B274,LEN("Not Functioning"))="Not Functioning"</formula>
    </cfRule>
    <cfRule type="containsText" dxfId="231" priority="228" operator="containsText" text="Functioning">
      <formula>NOT(ISERROR(SEARCH("Functioning",B274)))</formula>
    </cfRule>
  </conditionalFormatting>
  <conditionalFormatting sqref="I275:J275 I276:I296 I302">
    <cfRule type="beginsWith" dxfId="230" priority="223" stopIfTrue="1" operator="beginsWith" text="Functioning At Risk">
      <formula>LEFT(I275,LEN("Functioning At Risk"))="Functioning At Risk"</formula>
    </cfRule>
    <cfRule type="beginsWith" dxfId="229" priority="224" stopIfTrue="1" operator="beginsWith" text="Not Functioning">
      <formula>LEFT(I275,LEN("Not Functioning"))="Not Functioning"</formula>
    </cfRule>
    <cfRule type="containsText" dxfId="228" priority="225" stopIfTrue="1" operator="containsText" text="Functioning">
      <formula>NOT(ISERROR(SEARCH("Functioning",I275)))</formula>
    </cfRule>
  </conditionalFormatting>
  <conditionalFormatting sqref="F293:H295 F302:H302 F277:H277 G275:H276 F287:F291 H287:H292 F279:H286 G278:H278 F297:G300 F301 F303 G296">
    <cfRule type="cellIs" dxfId="227" priority="221" operator="lessThan">
      <formula>0.7</formula>
    </cfRule>
    <cfRule type="cellIs" dxfId="226" priority="222" operator="lessThanOrEqual">
      <formula>1</formula>
    </cfRule>
  </conditionalFormatting>
  <conditionalFormatting sqref="F302:H302 F277:H277 G275:H276 F293:H295 F287:F291 H287:H292 F279:H286 G278:H278 F297:G300 F301 F303 G296">
    <cfRule type="cellIs" dxfId="225" priority="220" operator="lessThan">
      <formula>0.3</formula>
    </cfRule>
  </conditionalFormatting>
  <conditionalFormatting sqref="F275">
    <cfRule type="cellIs" dxfId="224" priority="218" operator="lessThan">
      <formula>0.7</formula>
    </cfRule>
    <cfRule type="cellIs" dxfId="223" priority="219" operator="lessThanOrEqual">
      <formula>1</formula>
    </cfRule>
  </conditionalFormatting>
  <conditionalFormatting sqref="F275">
    <cfRule type="cellIs" dxfId="222" priority="217" operator="lessThan">
      <formula>0.3</formula>
    </cfRule>
  </conditionalFormatting>
  <conditionalFormatting sqref="H296">
    <cfRule type="cellIs" dxfId="221" priority="215" operator="lessThan">
      <formula>0.7</formula>
    </cfRule>
    <cfRule type="cellIs" dxfId="220" priority="216" operator="lessThanOrEqual">
      <formula>1</formula>
    </cfRule>
  </conditionalFormatting>
  <conditionalFormatting sqref="H296">
    <cfRule type="cellIs" dxfId="219" priority="214" operator="lessThan">
      <formula>0.3</formula>
    </cfRule>
  </conditionalFormatting>
  <conditionalFormatting sqref="F278">
    <cfRule type="cellIs" dxfId="218" priority="212" operator="lessThan">
      <formula>0.7</formula>
    </cfRule>
    <cfRule type="cellIs" dxfId="217" priority="213" operator="lessThanOrEqual">
      <formula>1</formula>
    </cfRule>
  </conditionalFormatting>
  <conditionalFormatting sqref="F278">
    <cfRule type="cellIs" dxfId="216" priority="211" operator="lessThan">
      <formula>0.3</formula>
    </cfRule>
  </conditionalFormatting>
  <conditionalFormatting sqref="A312 E312:J312">
    <cfRule type="beginsWith" dxfId="215" priority="208" stopIfTrue="1" operator="beginsWith" text="Functioning At Risk">
      <formula>LEFT(A312,LEN("Functioning At Risk"))="Functioning At Risk"</formula>
    </cfRule>
    <cfRule type="beginsWith" dxfId="214" priority="209" stopIfTrue="1" operator="beginsWith" text="Not Functioning">
      <formula>LEFT(A312,LEN("Not Functioning"))="Not Functioning"</formula>
    </cfRule>
    <cfRule type="containsText" dxfId="213" priority="210" operator="containsText" text="Functioning">
      <formula>NOT(ISERROR(SEARCH("Functioning",A312)))</formula>
    </cfRule>
  </conditionalFormatting>
  <conditionalFormatting sqref="B312:C312">
    <cfRule type="beginsWith" dxfId="212" priority="205" stopIfTrue="1" operator="beginsWith" text="Functioning At Risk">
      <formula>LEFT(B312,LEN("Functioning At Risk"))="Functioning At Risk"</formula>
    </cfRule>
    <cfRule type="beginsWith" dxfId="211" priority="206" stopIfTrue="1" operator="beginsWith" text="Not Functioning">
      <formula>LEFT(B312,LEN("Not Functioning"))="Not Functioning"</formula>
    </cfRule>
    <cfRule type="containsText" dxfId="210" priority="207" operator="containsText" text="Functioning">
      <formula>NOT(ISERROR(SEARCH("Functioning",B312)))</formula>
    </cfRule>
  </conditionalFormatting>
  <conditionalFormatting sqref="I313:J313 I314:I334 I340">
    <cfRule type="beginsWith" dxfId="209" priority="202" stopIfTrue="1" operator="beginsWith" text="Functioning At Risk">
      <formula>LEFT(I313,LEN("Functioning At Risk"))="Functioning At Risk"</formula>
    </cfRule>
    <cfRule type="beginsWith" dxfId="208" priority="203" stopIfTrue="1" operator="beginsWith" text="Not Functioning">
      <formula>LEFT(I313,LEN("Not Functioning"))="Not Functioning"</formula>
    </cfRule>
    <cfRule type="containsText" dxfId="207" priority="204" stopIfTrue="1" operator="containsText" text="Functioning">
      <formula>NOT(ISERROR(SEARCH("Functioning",I313)))</formula>
    </cfRule>
  </conditionalFormatting>
  <conditionalFormatting sqref="F331:H333 F340:H340 F315:H315 G313:H314 F325:F329 H325:H330 F317:H324 G316:H316 F335:G338 F339 F341 G334">
    <cfRule type="cellIs" dxfId="206" priority="200" operator="lessThan">
      <formula>0.7</formula>
    </cfRule>
    <cfRule type="cellIs" dxfId="205" priority="201" operator="lessThanOrEqual">
      <formula>1</formula>
    </cfRule>
  </conditionalFormatting>
  <conditionalFormatting sqref="F340:H340 F315:H315 G313:H314 F331:H333 F325:F329 H325:H330 F317:H324 G316:H316 F335:G338 F339 F341 G334">
    <cfRule type="cellIs" dxfId="204" priority="199" operator="lessThan">
      <formula>0.3</formula>
    </cfRule>
  </conditionalFormatting>
  <conditionalFormatting sqref="F313">
    <cfRule type="cellIs" dxfId="203" priority="197" operator="lessThan">
      <formula>0.7</formula>
    </cfRule>
    <cfRule type="cellIs" dxfId="202" priority="198" operator="lessThanOrEqual">
      <formula>1</formula>
    </cfRule>
  </conditionalFormatting>
  <conditionalFormatting sqref="F313">
    <cfRule type="cellIs" dxfId="201" priority="196" operator="lessThan">
      <formula>0.3</formula>
    </cfRule>
  </conditionalFormatting>
  <conditionalFormatting sqref="H334">
    <cfRule type="cellIs" dxfId="200" priority="194" operator="lessThan">
      <formula>0.7</formula>
    </cfRule>
    <cfRule type="cellIs" dxfId="199" priority="195" operator="lessThanOrEqual">
      <formula>1</formula>
    </cfRule>
  </conditionalFormatting>
  <conditionalFormatting sqref="H334">
    <cfRule type="cellIs" dxfId="198" priority="193" operator="lessThan">
      <formula>0.3</formula>
    </cfRule>
  </conditionalFormatting>
  <conditionalFormatting sqref="F316">
    <cfRule type="cellIs" dxfId="197" priority="191" operator="lessThan">
      <formula>0.7</formula>
    </cfRule>
    <cfRule type="cellIs" dxfId="196" priority="192" operator="lessThanOrEqual">
      <formula>1</formula>
    </cfRule>
  </conditionalFormatting>
  <conditionalFormatting sqref="F316">
    <cfRule type="cellIs" dxfId="195" priority="190" operator="lessThan">
      <formula>0.3</formula>
    </cfRule>
  </conditionalFormatting>
  <conditionalFormatting sqref="A350 E350:J350">
    <cfRule type="beginsWith" dxfId="194" priority="187" stopIfTrue="1" operator="beginsWith" text="Functioning At Risk">
      <formula>LEFT(A350,LEN("Functioning At Risk"))="Functioning At Risk"</formula>
    </cfRule>
    <cfRule type="beginsWith" dxfId="193" priority="188" stopIfTrue="1" operator="beginsWith" text="Not Functioning">
      <formula>LEFT(A350,LEN("Not Functioning"))="Not Functioning"</formula>
    </cfRule>
    <cfRule type="containsText" dxfId="192" priority="189" operator="containsText" text="Functioning">
      <formula>NOT(ISERROR(SEARCH("Functioning",A350)))</formula>
    </cfRule>
  </conditionalFormatting>
  <conditionalFormatting sqref="B350:C350">
    <cfRule type="beginsWith" dxfId="191" priority="184" stopIfTrue="1" operator="beginsWith" text="Functioning At Risk">
      <formula>LEFT(B350,LEN("Functioning At Risk"))="Functioning At Risk"</formula>
    </cfRule>
    <cfRule type="beginsWith" dxfId="190" priority="185" stopIfTrue="1" operator="beginsWith" text="Not Functioning">
      <formula>LEFT(B350,LEN("Not Functioning"))="Not Functioning"</formula>
    </cfRule>
    <cfRule type="containsText" dxfId="189" priority="186" operator="containsText" text="Functioning">
      <formula>NOT(ISERROR(SEARCH("Functioning",B350)))</formula>
    </cfRule>
  </conditionalFormatting>
  <conditionalFormatting sqref="I351:J351 I352:I372 I378">
    <cfRule type="beginsWith" dxfId="188" priority="181" stopIfTrue="1" operator="beginsWith" text="Functioning At Risk">
      <formula>LEFT(I351,LEN("Functioning At Risk"))="Functioning At Risk"</formula>
    </cfRule>
    <cfRule type="beginsWith" dxfId="187" priority="182" stopIfTrue="1" operator="beginsWith" text="Not Functioning">
      <formula>LEFT(I351,LEN("Not Functioning"))="Not Functioning"</formula>
    </cfRule>
    <cfRule type="containsText" dxfId="186" priority="183" stopIfTrue="1" operator="containsText" text="Functioning">
      <formula>NOT(ISERROR(SEARCH("Functioning",I351)))</formula>
    </cfRule>
  </conditionalFormatting>
  <conditionalFormatting sqref="F369:H371 F378:H378 F353:H353 G351:H352 F363:F367 H363:H368 F355:H362 G354:H354 F373:G376 F377 F379 G372">
    <cfRule type="cellIs" dxfId="185" priority="179" operator="lessThan">
      <formula>0.7</formula>
    </cfRule>
    <cfRule type="cellIs" dxfId="184" priority="180" operator="lessThanOrEqual">
      <formula>1</formula>
    </cfRule>
  </conditionalFormatting>
  <conditionalFormatting sqref="F378:H378 F353:H353 G351:H352 F369:H371 F363:F367 H363:H368 F355:H362 G354:H354 F373:G376 F377 F379 G372">
    <cfRule type="cellIs" dxfId="183" priority="178" operator="lessThan">
      <formula>0.3</formula>
    </cfRule>
  </conditionalFormatting>
  <conditionalFormatting sqref="F351">
    <cfRule type="cellIs" dxfId="182" priority="176" operator="lessThan">
      <formula>0.7</formula>
    </cfRule>
    <cfRule type="cellIs" dxfId="181" priority="177" operator="lessThanOrEqual">
      <formula>1</formula>
    </cfRule>
  </conditionalFormatting>
  <conditionalFormatting sqref="F351">
    <cfRule type="cellIs" dxfId="180" priority="175" operator="lessThan">
      <formula>0.3</formula>
    </cfRule>
  </conditionalFormatting>
  <conditionalFormatting sqref="H372">
    <cfRule type="cellIs" dxfId="179" priority="173" operator="lessThan">
      <formula>0.7</formula>
    </cfRule>
    <cfRule type="cellIs" dxfId="178" priority="174" operator="lessThanOrEqual">
      <formula>1</formula>
    </cfRule>
  </conditionalFormatting>
  <conditionalFormatting sqref="H372">
    <cfRule type="cellIs" dxfId="177" priority="172" operator="lessThan">
      <formula>0.3</formula>
    </cfRule>
  </conditionalFormatting>
  <conditionalFormatting sqref="F354">
    <cfRule type="cellIs" dxfId="176" priority="170" operator="lessThan">
      <formula>0.7</formula>
    </cfRule>
    <cfRule type="cellIs" dxfId="175" priority="171" operator="lessThanOrEqual">
      <formula>1</formula>
    </cfRule>
  </conditionalFormatting>
  <conditionalFormatting sqref="F354">
    <cfRule type="cellIs" dxfId="174" priority="169" operator="lessThan">
      <formula>0.3</formula>
    </cfRule>
  </conditionalFormatting>
  <conditionalFormatting sqref="F144">
    <cfRule type="cellIs" dxfId="173" priority="167" operator="lessThan">
      <formula>0.7</formula>
    </cfRule>
    <cfRule type="cellIs" dxfId="172" priority="168" operator="lessThanOrEqual">
      <formula>1</formula>
    </cfRule>
  </conditionalFormatting>
  <conditionalFormatting sqref="F144">
    <cfRule type="cellIs" dxfId="171" priority="166" operator="lessThan">
      <formula>0.3</formula>
    </cfRule>
  </conditionalFormatting>
  <conditionalFormatting sqref="F106">
    <cfRule type="cellIs" dxfId="170" priority="164" operator="lessThan">
      <formula>0.7</formula>
    </cfRule>
    <cfRule type="cellIs" dxfId="169" priority="165" operator="lessThanOrEqual">
      <formula>1</formula>
    </cfRule>
  </conditionalFormatting>
  <conditionalFormatting sqref="F106">
    <cfRule type="cellIs" dxfId="168" priority="163" operator="lessThan">
      <formula>0.3</formula>
    </cfRule>
  </conditionalFormatting>
  <conditionalFormatting sqref="F68">
    <cfRule type="cellIs" dxfId="167" priority="161" operator="lessThan">
      <formula>0.7</formula>
    </cfRule>
    <cfRule type="cellIs" dxfId="166" priority="162" operator="lessThanOrEqual">
      <formula>1</formula>
    </cfRule>
  </conditionalFormatting>
  <conditionalFormatting sqref="F68">
    <cfRule type="cellIs" dxfId="165" priority="160" operator="lessThan">
      <formula>0.3</formula>
    </cfRule>
  </conditionalFormatting>
  <conditionalFormatting sqref="F30">
    <cfRule type="cellIs" dxfId="164" priority="158" operator="lessThan">
      <formula>0.7</formula>
    </cfRule>
    <cfRule type="cellIs" dxfId="163" priority="159" operator="lessThanOrEqual">
      <formula>1</formula>
    </cfRule>
  </conditionalFormatting>
  <conditionalFormatting sqref="F30">
    <cfRule type="cellIs" dxfId="162" priority="157" operator="lessThan">
      <formula>0.3</formula>
    </cfRule>
  </conditionalFormatting>
  <conditionalFormatting sqref="F220">
    <cfRule type="cellIs" dxfId="161" priority="155" operator="lessThan">
      <formula>0.7</formula>
    </cfRule>
    <cfRule type="cellIs" dxfId="160" priority="156" operator="lessThanOrEqual">
      <formula>1</formula>
    </cfRule>
  </conditionalFormatting>
  <conditionalFormatting sqref="F220">
    <cfRule type="cellIs" dxfId="159" priority="154" operator="lessThan">
      <formula>0.3</formula>
    </cfRule>
  </conditionalFormatting>
  <conditionalFormatting sqref="F258">
    <cfRule type="cellIs" dxfId="158" priority="152" operator="lessThan">
      <formula>0.7</formula>
    </cfRule>
    <cfRule type="cellIs" dxfId="157" priority="153" operator="lessThanOrEqual">
      <formula>1</formula>
    </cfRule>
  </conditionalFormatting>
  <conditionalFormatting sqref="F258">
    <cfRule type="cellIs" dxfId="156" priority="151" operator="lessThan">
      <formula>0.3</formula>
    </cfRule>
  </conditionalFormatting>
  <conditionalFormatting sqref="F296">
    <cfRule type="cellIs" dxfId="155" priority="149" operator="lessThan">
      <formula>0.7</formula>
    </cfRule>
    <cfRule type="cellIs" dxfId="154" priority="150" operator="lessThanOrEqual">
      <formula>1</formula>
    </cfRule>
  </conditionalFormatting>
  <conditionalFormatting sqref="F296">
    <cfRule type="cellIs" dxfId="153" priority="148" operator="lessThan">
      <formula>0.3</formula>
    </cfRule>
  </conditionalFormatting>
  <conditionalFormatting sqref="F334">
    <cfRule type="cellIs" dxfId="152" priority="146" operator="lessThan">
      <formula>0.7</formula>
    </cfRule>
    <cfRule type="cellIs" dxfId="151" priority="147" operator="lessThanOrEqual">
      <formula>1</formula>
    </cfRule>
  </conditionalFormatting>
  <conditionalFormatting sqref="F334">
    <cfRule type="cellIs" dxfId="150" priority="145" operator="lessThan">
      <formula>0.3</formula>
    </cfRule>
  </conditionalFormatting>
  <conditionalFormatting sqref="F372">
    <cfRule type="cellIs" dxfId="149" priority="143" operator="lessThan">
      <formula>0.7</formula>
    </cfRule>
    <cfRule type="cellIs" dxfId="148" priority="144" operator="lessThanOrEqual">
      <formula>1</formula>
    </cfRule>
  </conditionalFormatting>
  <conditionalFormatting sqref="F372">
    <cfRule type="cellIs" dxfId="147" priority="142" operator="lessThan">
      <formula>0.3</formula>
    </cfRule>
  </conditionalFormatting>
  <conditionalFormatting sqref="G75">
    <cfRule type="cellIs" dxfId="146" priority="140" operator="lessThan">
      <formula>0.7</formula>
    </cfRule>
    <cfRule type="cellIs" dxfId="145" priority="141" operator="lessThanOrEqual">
      <formula>1</formula>
    </cfRule>
  </conditionalFormatting>
  <conditionalFormatting sqref="G75">
    <cfRule type="cellIs" dxfId="144" priority="139" operator="lessThan">
      <formula>0.3</formula>
    </cfRule>
  </conditionalFormatting>
  <conditionalFormatting sqref="G113">
    <cfRule type="cellIs" dxfId="143" priority="137" operator="lessThan">
      <formula>0.7</formula>
    </cfRule>
    <cfRule type="cellIs" dxfId="142" priority="138" operator="lessThanOrEqual">
      <formula>1</formula>
    </cfRule>
  </conditionalFormatting>
  <conditionalFormatting sqref="G113">
    <cfRule type="cellIs" dxfId="141" priority="136" operator="lessThan">
      <formula>0.3</formula>
    </cfRule>
  </conditionalFormatting>
  <conditionalFormatting sqref="G151">
    <cfRule type="cellIs" dxfId="140" priority="134" operator="lessThan">
      <formula>0.7</formula>
    </cfRule>
    <cfRule type="cellIs" dxfId="139" priority="135" operator="lessThanOrEqual">
      <formula>1</formula>
    </cfRule>
  </conditionalFormatting>
  <conditionalFormatting sqref="G151">
    <cfRule type="cellIs" dxfId="138" priority="133" operator="lessThan">
      <formula>0.3</formula>
    </cfRule>
  </conditionalFormatting>
  <conditionalFormatting sqref="G189">
    <cfRule type="cellIs" dxfId="137" priority="131" operator="lessThan">
      <formula>0.7</formula>
    </cfRule>
    <cfRule type="cellIs" dxfId="136" priority="132" operator="lessThanOrEqual">
      <formula>1</formula>
    </cfRule>
  </conditionalFormatting>
  <conditionalFormatting sqref="G189">
    <cfRule type="cellIs" dxfId="135" priority="130" operator="lessThan">
      <formula>0.3</formula>
    </cfRule>
  </conditionalFormatting>
  <conditionalFormatting sqref="G227">
    <cfRule type="cellIs" dxfId="134" priority="128" operator="lessThan">
      <formula>0.7</formula>
    </cfRule>
    <cfRule type="cellIs" dxfId="133" priority="129" operator="lessThanOrEqual">
      <formula>1</formula>
    </cfRule>
  </conditionalFormatting>
  <conditionalFormatting sqref="G227">
    <cfRule type="cellIs" dxfId="132" priority="127" operator="lessThan">
      <formula>0.3</formula>
    </cfRule>
  </conditionalFormatting>
  <conditionalFormatting sqref="G265">
    <cfRule type="cellIs" dxfId="131" priority="125" operator="lessThan">
      <formula>0.7</formula>
    </cfRule>
    <cfRule type="cellIs" dxfId="130" priority="126" operator="lessThanOrEqual">
      <formula>1</formula>
    </cfRule>
  </conditionalFormatting>
  <conditionalFormatting sqref="G265">
    <cfRule type="cellIs" dxfId="129" priority="124" operator="lessThan">
      <formula>0.3</formula>
    </cfRule>
  </conditionalFormatting>
  <conditionalFormatting sqref="G303">
    <cfRule type="cellIs" dxfId="128" priority="122" operator="lessThan">
      <formula>0.7</formula>
    </cfRule>
    <cfRule type="cellIs" dxfId="127" priority="123" operator="lessThanOrEqual">
      <formula>1</formula>
    </cfRule>
  </conditionalFormatting>
  <conditionalFormatting sqref="G303">
    <cfRule type="cellIs" dxfId="126" priority="121" operator="lessThan">
      <formula>0.3</formula>
    </cfRule>
  </conditionalFormatting>
  <conditionalFormatting sqref="G341">
    <cfRule type="cellIs" dxfId="125" priority="119" operator="lessThan">
      <formula>0.7</formula>
    </cfRule>
    <cfRule type="cellIs" dxfId="124" priority="120" operator="lessThanOrEqual">
      <formula>1</formula>
    </cfRule>
  </conditionalFormatting>
  <conditionalFormatting sqref="G341">
    <cfRule type="cellIs" dxfId="123" priority="118" operator="lessThan">
      <formula>0.3</formula>
    </cfRule>
  </conditionalFormatting>
  <conditionalFormatting sqref="G379">
    <cfRule type="cellIs" dxfId="122" priority="116" operator="lessThan">
      <formula>0.7</formula>
    </cfRule>
    <cfRule type="cellIs" dxfId="121" priority="117" operator="lessThanOrEqual">
      <formula>1</formula>
    </cfRule>
  </conditionalFormatting>
  <conditionalFormatting sqref="G379">
    <cfRule type="cellIs" dxfId="120" priority="115" operator="lessThan">
      <formula>0.3</formula>
    </cfRule>
  </conditionalFormatting>
  <conditionalFormatting sqref="A39">
    <cfRule type="beginsWith" dxfId="119" priority="112" stopIfTrue="1" operator="beginsWith" text="Functioning At Risk">
      <formula>LEFT(A39,LEN("Functioning At Risk"))="Functioning At Risk"</formula>
    </cfRule>
    <cfRule type="beginsWith" dxfId="118" priority="113" stopIfTrue="1" operator="beginsWith" text="Not Functioning">
      <formula>LEFT(A39,LEN("Not Functioning"))="Not Functioning"</formula>
    </cfRule>
    <cfRule type="containsText" dxfId="117" priority="114" operator="containsText" text="Functioning">
      <formula>NOT(ISERROR(SEARCH("Functioning",A39)))</formula>
    </cfRule>
  </conditionalFormatting>
  <conditionalFormatting sqref="A77">
    <cfRule type="beginsWith" dxfId="116" priority="109" stopIfTrue="1" operator="beginsWith" text="Functioning At Risk">
      <formula>LEFT(A77,LEN("Functioning At Risk"))="Functioning At Risk"</formula>
    </cfRule>
    <cfRule type="beginsWith" dxfId="115" priority="110" stopIfTrue="1" operator="beginsWith" text="Not Functioning">
      <formula>LEFT(A77,LEN("Not Functioning"))="Not Functioning"</formula>
    </cfRule>
    <cfRule type="containsText" dxfId="114" priority="111" operator="containsText" text="Functioning">
      <formula>NOT(ISERROR(SEARCH("Functioning",A77)))</formula>
    </cfRule>
  </conditionalFormatting>
  <conditionalFormatting sqref="A115">
    <cfRule type="beginsWith" dxfId="113" priority="106" stopIfTrue="1" operator="beginsWith" text="Functioning At Risk">
      <formula>LEFT(A115,LEN("Functioning At Risk"))="Functioning At Risk"</formula>
    </cfRule>
    <cfRule type="beginsWith" dxfId="112" priority="107" stopIfTrue="1" operator="beginsWith" text="Not Functioning">
      <formula>LEFT(A115,LEN("Not Functioning"))="Not Functioning"</formula>
    </cfRule>
    <cfRule type="containsText" dxfId="111" priority="108" operator="containsText" text="Functioning">
      <formula>NOT(ISERROR(SEARCH("Functioning",A115)))</formula>
    </cfRule>
  </conditionalFormatting>
  <conditionalFormatting sqref="A153">
    <cfRule type="beginsWith" dxfId="110" priority="103" stopIfTrue="1" operator="beginsWith" text="Functioning At Risk">
      <formula>LEFT(A153,LEN("Functioning At Risk"))="Functioning At Risk"</formula>
    </cfRule>
    <cfRule type="beginsWith" dxfId="109" priority="104" stopIfTrue="1" operator="beginsWith" text="Not Functioning">
      <formula>LEFT(A153,LEN("Not Functioning"))="Not Functioning"</formula>
    </cfRule>
    <cfRule type="containsText" dxfId="108" priority="105" operator="containsText" text="Functioning">
      <formula>NOT(ISERROR(SEARCH("Functioning",A153)))</formula>
    </cfRule>
  </conditionalFormatting>
  <conditionalFormatting sqref="A191">
    <cfRule type="beginsWith" dxfId="107" priority="100" stopIfTrue="1" operator="beginsWith" text="Functioning At Risk">
      <formula>LEFT(A191,LEN("Functioning At Risk"))="Functioning At Risk"</formula>
    </cfRule>
    <cfRule type="beginsWith" dxfId="106" priority="101" stopIfTrue="1" operator="beginsWith" text="Not Functioning">
      <formula>LEFT(A191,LEN("Not Functioning"))="Not Functioning"</formula>
    </cfRule>
    <cfRule type="containsText" dxfId="105" priority="102" operator="containsText" text="Functioning">
      <formula>NOT(ISERROR(SEARCH("Functioning",A191)))</formula>
    </cfRule>
  </conditionalFormatting>
  <conditionalFormatting sqref="A229">
    <cfRule type="beginsWith" dxfId="104" priority="97" stopIfTrue="1" operator="beginsWith" text="Functioning At Risk">
      <formula>LEFT(A229,LEN("Functioning At Risk"))="Functioning At Risk"</formula>
    </cfRule>
    <cfRule type="beginsWith" dxfId="103" priority="98" stopIfTrue="1" operator="beginsWith" text="Not Functioning">
      <formula>LEFT(A229,LEN("Not Functioning"))="Not Functioning"</formula>
    </cfRule>
    <cfRule type="containsText" dxfId="102" priority="99" operator="containsText" text="Functioning">
      <formula>NOT(ISERROR(SEARCH("Functioning",A229)))</formula>
    </cfRule>
  </conditionalFormatting>
  <conditionalFormatting sqref="A267">
    <cfRule type="beginsWith" dxfId="101" priority="94" stopIfTrue="1" operator="beginsWith" text="Functioning At Risk">
      <formula>LEFT(A267,LEN("Functioning At Risk"))="Functioning At Risk"</formula>
    </cfRule>
    <cfRule type="beginsWith" dxfId="100" priority="95" stopIfTrue="1" operator="beginsWith" text="Not Functioning">
      <formula>LEFT(A267,LEN("Not Functioning"))="Not Functioning"</formula>
    </cfRule>
    <cfRule type="containsText" dxfId="99" priority="96" operator="containsText" text="Functioning">
      <formula>NOT(ISERROR(SEARCH("Functioning",A267)))</formula>
    </cfRule>
  </conditionalFormatting>
  <conditionalFormatting sqref="A305">
    <cfRule type="beginsWith" dxfId="98" priority="91" stopIfTrue="1" operator="beginsWith" text="Functioning At Risk">
      <formula>LEFT(A305,LEN("Functioning At Risk"))="Functioning At Risk"</formula>
    </cfRule>
    <cfRule type="beginsWith" dxfId="97" priority="92" stopIfTrue="1" operator="beginsWith" text="Not Functioning">
      <formula>LEFT(A305,LEN("Not Functioning"))="Not Functioning"</formula>
    </cfRule>
    <cfRule type="containsText" dxfId="96" priority="93" operator="containsText" text="Functioning">
      <formula>NOT(ISERROR(SEARCH("Functioning",A305)))</formula>
    </cfRule>
  </conditionalFormatting>
  <conditionalFormatting sqref="A343">
    <cfRule type="beginsWith" dxfId="95" priority="88" stopIfTrue="1" operator="beginsWith" text="Functioning At Risk">
      <formula>LEFT(A343,LEN("Functioning At Risk"))="Functioning At Risk"</formula>
    </cfRule>
    <cfRule type="beginsWith" dxfId="94" priority="89" stopIfTrue="1" operator="beginsWith" text="Not Functioning">
      <formula>LEFT(A343,LEN("Not Functioning"))="Not Functioning"</formula>
    </cfRule>
    <cfRule type="containsText" dxfId="93" priority="90" operator="containsText" text="Functioning">
      <formula>NOT(ISERROR(SEARCH("Functioning",A343)))</formula>
    </cfRule>
  </conditionalFormatting>
  <conditionalFormatting sqref="J6">
    <cfRule type="beginsWith" dxfId="92" priority="82" stopIfTrue="1" operator="beginsWith" text="Functioning At Risk">
      <formula>LEFT(J6,LEN("Functioning At Risk"))="Functioning At Risk"</formula>
    </cfRule>
    <cfRule type="beginsWith" dxfId="91" priority="83" stopIfTrue="1" operator="beginsWith" text="Not Functioning">
      <formula>LEFT(J6,LEN("Not Functioning"))="Not Functioning"</formula>
    </cfRule>
    <cfRule type="containsText" dxfId="90" priority="84" operator="containsText" text="Functioning">
      <formula>NOT(ISERROR(SEARCH("Functioning",J6)))</formula>
    </cfRule>
  </conditionalFormatting>
  <conditionalFormatting sqref="J6">
    <cfRule type="beginsWith" dxfId="89" priority="85" stopIfTrue="1" operator="beginsWith" text="Functioning At Risk">
      <formula>LEFT(J6,LEN("Functioning At Risk"))="Functioning At Risk"</formula>
    </cfRule>
    <cfRule type="beginsWith" dxfId="88" priority="86" stopIfTrue="1" operator="beginsWith" text="Not Functioning">
      <formula>LEFT(J6,LEN("Not Functioning"))="Not Functioning"</formula>
    </cfRule>
    <cfRule type="containsText" dxfId="87" priority="87" operator="containsText" text="Functioning">
      <formula>NOT(ISERROR(SEARCH("Functioning",J6)))</formula>
    </cfRule>
  </conditionalFormatting>
  <conditionalFormatting sqref="D44">
    <cfRule type="beginsWith" dxfId="86" priority="76" stopIfTrue="1" operator="beginsWith" text="Functioning At Risk">
      <formula>LEFT(D44,LEN("Functioning At Risk"))="Functioning At Risk"</formula>
    </cfRule>
    <cfRule type="beginsWith" dxfId="85" priority="77" stopIfTrue="1" operator="beginsWith" text="Not Functioning">
      <formula>LEFT(D44,LEN("Not Functioning"))="Not Functioning"</formula>
    </cfRule>
    <cfRule type="containsText" dxfId="84" priority="78" operator="containsText" text="Functioning">
      <formula>NOT(ISERROR(SEARCH("Functioning",D44)))</formula>
    </cfRule>
  </conditionalFormatting>
  <conditionalFormatting sqref="D44">
    <cfRule type="beginsWith" dxfId="83" priority="79" stopIfTrue="1" operator="beginsWith" text="Functioning At Risk">
      <formula>LEFT(D44,LEN("Functioning At Risk"))="Functioning At Risk"</formula>
    </cfRule>
    <cfRule type="beginsWith" dxfId="82" priority="80" stopIfTrue="1" operator="beginsWith" text="Not Functioning">
      <formula>LEFT(D44,LEN("Not Functioning"))="Not Functioning"</formula>
    </cfRule>
    <cfRule type="containsText" dxfId="81" priority="81" operator="containsText" text="Functioning">
      <formula>NOT(ISERROR(SEARCH("Functioning",D44)))</formula>
    </cfRule>
  </conditionalFormatting>
  <conditionalFormatting sqref="D82">
    <cfRule type="beginsWith" dxfId="80" priority="70" stopIfTrue="1" operator="beginsWith" text="Functioning At Risk">
      <formula>LEFT(D82,LEN("Functioning At Risk"))="Functioning At Risk"</formula>
    </cfRule>
    <cfRule type="beginsWith" dxfId="79" priority="71" stopIfTrue="1" operator="beginsWith" text="Not Functioning">
      <formula>LEFT(D82,LEN("Not Functioning"))="Not Functioning"</formula>
    </cfRule>
    <cfRule type="containsText" dxfId="78" priority="72" operator="containsText" text="Functioning">
      <formula>NOT(ISERROR(SEARCH("Functioning",D82)))</formula>
    </cfRule>
  </conditionalFormatting>
  <conditionalFormatting sqref="D82">
    <cfRule type="beginsWith" dxfId="77" priority="73" stopIfTrue="1" operator="beginsWith" text="Functioning At Risk">
      <formula>LEFT(D82,LEN("Functioning At Risk"))="Functioning At Risk"</formula>
    </cfRule>
    <cfRule type="beginsWith" dxfId="76" priority="74" stopIfTrue="1" operator="beginsWith" text="Not Functioning">
      <formula>LEFT(D82,LEN("Not Functioning"))="Not Functioning"</formula>
    </cfRule>
    <cfRule type="containsText" dxfId="75" priority="75" operator="containsText" text="Functioning">
      <formula>NOT(ISERROR(SEARCH("Functioning",D82)))</formula>
    </cfRule>
  </conditionalFormatting>
  <conditionalFormatting sqref="D120">
    <cfRule type="beginsWith" dxfId="74" priority="64" stopIfTrue="1" operator="beginsWith" text="Functioning At Risk">
      <formula>LEFT(D120,LEN("Functioning At Risk"))="Functioning At Risk"</formula>
    </cfRule>
    <cfRule type="beginsWith" dxfId="73" priority="65" stopIfTrue="1" operator="beginsWith" text="Not Functioning">
      <formula>LEFT(D120,LEN("Not Functioning"))="Not Functioning"</formula>
    </cfRule>
    <cfRule type="containsText" dxfId="72" priority="66" operator="containsText" text="Functioning">
      <formula>NOT(ISERROR(SEARCH("Functioning",D120)))</formula>
    </cfRule>
  </conditionalFormatting>
  <conditionalFormatting sqref="D120">
    <cfRule type="beginsWith" dxfId="71" priority="67" stopIfTrue="1" operator="beginsWith" text="Functioning At Risk">
      <formula>LEFT(D120,LEN("Functioning At Risk"))="Functioning At Risk"</formula>
    </cfRule>
    <cfRule type="beginsWith" dxfId="70" priority="68" stopIfTrue="1" operator="beginsWith" text="Not Functioning">
      <formula>LEFT(D120,LEN("Not Functioning"))="Not Functioning"</formula>
    </cfRule>
    <cfRule type="containsText" dxfId="69" priority="69" operator="containsText" text="Functioning">
      <formula>NOT(ISERROR(SEARCH("Functioning",D120)))</formula>
    </cfRule>
  </conditionalFormatting>
  <conditionalFormatting sqref="D158">
    <cfRule type="beginsWith" dxfId="68" priority="58" stopIfTrue="1" operator="beginsWith" text="Functioning At Risk">
      <formula>LEFT(D158,LEN("Functioning At Risk"))="Functioning At Risk"</formula>
    </cfRule>
    <cfRule type="beginsWith" dxfId="67" priority="59" stopIfTrue="1" operator="beginsWith" text="Not Functioning">
      <formula>LEFT(D158,LEN("Not Functioning"))="Not Functioning"</formula>
    </cfRule>
    <cfRule type="containsText" dxfId="66" priority="60" operator="containsText" text="Functioning">
      <formula>NOT(ISERROR(SEARCH("Functioning",D158)))</formula>
    </cfRule>
  </conditionalFormatting>
  <conditionalFormatting sqref="D158">
    <cfRule type="beginsWith" dxfId="65" priority="61" stopIfTrue="1" operator="beginsWith" text="Functioning At Risk">
      <formula>LEFT(D158,LEN("Functioning At Risk"))="Functioning At Risk"</formula>
    </cfRule>
    <cfRule type="beginsWith" dxfId="64" priority="62" stopIfTrue="1" operator="beginsWith" text="Not Functioning">
      <formula>LEFT(D158,LEN("Not Functioning"))="Not Functioning"</formula>
    </cfRule>
    <cfRule type="containsText" dxfId="63" priority="63" operator="containsText" text="Functioning">
      <formula>NOT(ISERROR(SEARCH("Functioning",D158)))</formula>
    </cfRule>
  </conditionalFormatting>
  <conditionalFormatting sqref="D196">
    <cfRule type="beginsWith" dxfId="62" priority="52" stopIfTrue="1" operator="beginsWith" text="Functioning At Risk">
      <formula>LEFT(D196,LEN("Functioning At Risk"))="Functioning At Risk"</formula>
    </cfRule>
    <cfRule type="beginsWith" dxfId="61" priority="53" stopIfTrue="1" operator="beginsWith" text="Not Functioning">
      <formula>LEFT(D196,LEN("Not Functioning"))="Not Functioning"</formula>
    </cfRule>
    <cfRule type="containsText" dxfId="60" priority="54" operator="containsText" text="Functioning">
      <formula>NOT(ISERROR(SEARCH("Functioning",D196)))</formula>
    </cfRule>
  </conditionalFormatting>
  <conditionalFormatting sqref="D196">
    <cfRule type="beginsWith" dxfId="59" priority="55" stopIfTrue="1" operator="beginsWith" text="Functioning At Risk">
      <formula>LEFT(D196,LEN("Functioning At Risk"))="Functioning At Risk"</formula>
    </cfRule>
    <cfRule type="beginsWith" dxfId="58" priority="56" stopIfTrue="1" operator="beginsWith" text="Not Functioning">
      <formula>LEFT(D196,LEN("Not Functioning"))="Not Functioning"</formula>
    </cfRule>
    <cfRule type="containsText" dxfId="57" priority="57" operator="containsText" text="Functioning">
      <formula>NOT(ISERROR(SEARCH("Functioning",D196)))</formula>
    </cfRule>
  </conditionalFormatting>
  <conditionalFormatting sqref="D234">
    <cfRule type="beginsWith" dxfId="56" priority="46" stopIfTrue="1" operator="beginsWith" text="Functioning At Risk">
      <formula>LEFT(D234,LEN("Functioning At Risk"))="Functioning At Risk"</formula>
    </cfRule>
    <cfRule type="beginsWith" dxfId="55" priority="47" stopIfTrue="1" operator="beginsWith" text="Not Functioning">
      <formula>LEFT(D234,LEN("Not Functioning"))="Not Functioning"</formula>
    </cfRule>
    <cfRule type="containsText" dxfId="54" priority="48" operator="containsText" text="Functioning">
      <formula>NOT(ISERROR(SEARCH("Functioning",D234)))</formula>
    </cfRule>
  </conditionalFormatting>
  <conditionalFormatting sqref="D234">
    <cfRule type="beginsWith" dxfId="53" priority="49" stopIfTrue="1" operator="beginsWith" text="Functioning At Risk">
      <formula>LEFT(D234,LEN("Functioning At Risk"))="Functioning At Risk"</formula>
    </cfRule>
    <cfRule type="beginsWith" dxfId="52" priority="50" stopIfTrue="1" operator="beginsWith" text="Not Functioning">
      <formula>LEFT(D234,LEN("Not Functioning"))="Not Functioning"</formula>
    </cfRule>
    <cfRule type="containsText" dxfId="51" priority="51" operator="containsText" text="Functioning">
      <formula>NOT(ISERROR(SEARCH("Functioning",D234)))</formula>
    </cfRule>
  </conditionalFormatting>
  <conditionalFormatting sqref="D272">
    <cfRule type="beginsWith" dxfId="50" priority="40" stopIfTrue="1" operator="beginsWith" text="Functioning At Risk">
      <formula>LEFT(D272,LEN("Functioning At Risk"))="Functioning At Risk"</formula>
    </cfRule>
    <cfRule type="beginsWith" dxfId="49" priority="41" stopIfTrue="1" operator="beginsWith" text="Not Functioning">
      <formula>LEFT(D272,LEN("Not Functioning"))="Not Functioning"</formula>
    </cfRule>
    <cfRule type="containsText" dxfId="48" priority="42" operator="containsText" text="Functioning">
      <formula>NOT(ISERROR(SEARCH("Functioning",D272)))</formula>
    </cfRule>
  </conditionalFormatting>
  <conditionalFormatting sqref="D272">
    <cfRule type="beginsWith" dxfId="47" priority="43" stopIfTrue="1" operator="beginsWith" text="Functioning At Risk">
      <formula>LEFT(D272,LEN("Functioning At Risk"))="Functioning At Risk"</formula>
    </cfRule>
    <cfRule type="beginsWith" dxfId="46" priority="44" stopIfTrue="1" operator="beginsWith" text="Not Functioning">
      <formula>LEFT(D272,LEN("Not Functioning"))="Not Functioning"</formula>
    </cfRule>
    <cfRule type="containsText" dxfId="45" priority="45" operator="containsText" text="Functioning">
      <formula>NOT(ISERROR(SEARCH("Functioning",D272)))</formula>
    </cfRule>
  </conditionalFormatting>
  <conditionalFormatting sqref="D310">
    <cfRule type="beginsWith" dxfId="44" priority="34" stopIfTrue="1" operator="beginsWith" text="Functioning At Risk">
      <formula>LEFT(D310,LEN("Functioning At Risk"))="Functioning At Risk"</formula>
    </cfRule>
    <cfRule type="beginsWith" dxfId="43" priority="35" stopIfTrue="1" operator="beginsWith" text="Not Functioning">
      <formula>LEFT(D310,LEN("Not Functioning"))="Not Functioning"</formula>
    </cfRule>
    <cfRule type="containsText" dxfId="42" priority="36" operator="containsText" text="Functioning">
      <formula>NOT(ISERROR(SEARCH("Functioning",D310)))</formula>
    </cfRule>
  </conditionalFormatting>
  <conditionalFormatting sqref="D310">
    <cfRule type="beginsWith" dxfId="41" priority="37" stopIfTrue="1" operator="beginsWith" text="Functioning At Risk">
      <formula>LEFT(D310,LEN("Functioning At Risk"))="Functioning At Risk"</formula>
    </cfRule>
    <cfRule type="beginsWith" dxfId="40" priority="38" stopIfTrue="1" operator="beginsWith" text="Not Functioning">
      <formula>LEFT(D310,LEN("Not Functioning"))="Not Functioning"</formula>
    </cfRule>
    <cfRule type="containsText" dxfId="39" priority="39" operator="containsText" text="Functioning">
      <formula>NOT(ISERROR(SEARCH("Functioning",D310)))</formula>
    </cfRule>
  </conditionalFormatting>
  <conditionalFormatting sqref="D348">
    <cfRule type="beginsWith" dxfId="38" priority="28" stopIfTrue="1" operator="beginsWith" text="Functioning At Risk">
      <formula>LEFT(D348,LEN("Functioning At Risk"))="Functioning At Risk"</formula>
    </cfRule>
    <cfRule type="beginsWith" dxfId="37" priority="29" stopIfTrue="1" operator="beginsWith" text="Not Functioning">
      <formula>LEFT(D348,LEN("Not Functioning"))="Not Functioning"</formula>
    </cfRule>
    <cfRule type="containsText" dxfId="36" priority="30" operator="containsText" text="Functioning">
      <formula>NOT(ISERROR(SEARCH("Functioning",D348)))</formula>
    </cfRule>
  </conditionalFormatting>
  <conditionalFormatting sqref="D348">
    <cfRule type="beginsWith" dxfId="35" priority="31" stopIfTrue="1" operator="beginsWith" text="Functioning At Risk">
      <formula>LEFT(D348,LEN("Functioning At Risk"))="Functioning At Risk"</formula>
    </cfRule>
    <cfRule type="beginsWith" dxfId="34" priority="32" stopIfTrue="1" operator="beginsWith" text="Not Functioning">
      <formula>LEFT(D348,LEN("Not Functioning"))="Not Functioning"</formula>
    </cfRule>
    <cfRule type="containsText" dxfId="33" priority="33" operator="containsText" text="Functioning">
      <formula>NOT(ISERROR(SEARCH("Functioning",D348)))</formula>
    </cfRule>
  </conditionalFormatting>
  <conditionalFormatting sqref="F48">
    <cfRule type="cellIs" dxfId="32" priority="26" operator="lessThan">
      <formula>0.7</formula>
    </cfRule>
    <cfRule type="cellIs" dxfId="31" priority="27" operator="lessThanOrEqual">
      <formula>1</formula>
    </cfRule>
  </conditionalFormatting>
  <conditionalFormatting sqref="F48">
    <cfRule type="cellIs" dxfId="30" priority="25" operator="lessThan">
      <formula>0.3</formula>
    </cfRule>
  </conditionalFormatting>
  <conditionalFormatting sqref="F86">
    <cfRule type="cellIs" dxfId="29" priority="23" operator="lessThan">
      <formula>0.7</formula>
    </cfRule>
    <cfRule type="cellIs" dxfId="28" priority="24" operator="lessThanOrEqual">
      <formula>1</formula>
    </cfRule>
  </conditionalFormatting>
  <conditionalFormatting sqref="F86">
    <cfRule type="cellIs" dxfId="27" priority="22" operator="lessThan">
      <formula>0.3</formula>
    </cfRule>
  </conditionalFormatting>
  <conditionalFormatting sqref="F124">
    <cfRule type="cellIs" dxfId="26" priority="20" operator="lessThan">
      <formula>0.7</formula>
    </cfRule>
    <cfRule type="cellIs" dxfId="25" priority="21" operator="lessThanOrEqual">
      <formula>1</formula>
    </cfRule>
  </conditionalFormatting>
  <conditionalFormatting sqref="F124">
    <cfRule type="cellIs" dxfId="24" priority="19" operator="lessThan">
      <formula>0.3</formula>
    </cfRule>
  </conditionalFormatting>
  <conditionalFormatting sqref="F162">
    <cfRule type="cellIs" dxfId="23" priority="17" operator="lessThan">
      <formula>0.7</formula>
    </cfRule>
    <cfRule type="cellIs" dxfId="22" priority="18" operator="lessThanOrEqual">
      <formula>1</formula>
    </cfRule>
  </conditionalFormatting>
  <conditionalFormatting sqref="F162">
    <cfRule type="cellIs" dxfId="21" priority="16" operator="lessThan">
      <formula>0.3</formula>
    </cfRule>
  </conditionalFormatting>
  <conditionalFormatting sqref="F200">
    <cfRule type="cellIs" dxfId="20" priority="14" operator="lessThan">
      <formula>0.7</formula>
    </cfRule>
    <cfRule type="cellIs" dxfId="19" priority="15" operator="lessThanOrEqual">
      <formula>1</formula>
    </cfRule>
  </conditionalFormatting>
  <conditionalFormatting sqref="F200">
    <cfRule type="cellIs" dxfId="18" priority="13" operator="lessThan">
      <formula>0.3</formula>
    </cfRule>
  </conditionalFormatting>
  <conditionalFormatting sqref="F238">
    <cfRule type="cellIs" dxfId="17" priority="11" operator="lessThan">
      <formula>0.7</formula>
    </cfRule>
    <cfRule type="cellIs" dxfId="16" priority="12" operator="lessThanOrEqual">
      <formula>1</formula>
    </cfRule>
  </conditionalFormatting>
  <conditionalFormatting sqref="F238">
    <cfRule type="cellIs" dxfId="15" priority="10" operator="lessThan">
      <formula>0.3</formula>
    </cfRule>
  </conditionalFormatting>
  <conditionalFormatting sqref="F276">
    <cfRule type="cellIs" dxfId="14" priority="8" operator="lessThan">
      <formula>0.7</formula>
    </cfRule>
    <cfRule type="cellIs" dxfId="13" priority="9" operator="lessThanOrEqual">
      <formula>1</formula>
    </cfRule>
  </conditionalFormatting>
  <conditionalFormatting sqref="F276">
    <cfRule type="cellIs" dxfId="12" priority="7" operator="lessThan">
      <formula>0.3</formula>
    </cfRule>
  </conditionalFormatting>
  <conditionalFormatting sqref="F314">
    <cfRule type="cellIs" dxfId="11" priority="5" operator="lessThan">
      <formula>0.7</formula>
    </cfRule>
    <cfRule type="cellIs" dxfId="10" priority="6" operator="lessThanOrEqual">
      <formula>1</formula>
    </cfRule>
  </conditionalFormatting>
  <conditionalFormatting sqref="F314">
    <cfRule type="cellIs" dxfId="9" priority="4" operator="lessThan">
      <formula>0.3</formula>
    </cfRule>
  </conditionalFormatting>
  <conditionalFormatting sqref="F352">
    <cfRule type="cellIs" dxfId="8" priority="2" operator="lessThan">
      <formula>0.7</formula>
    </cfRule>
    <cfRule type="cellIs" dxfId="7" priority="3" operator="lessThanOrEqual">
      <formula>1</formula>
    </cfRule>
  </conditionalFormatting>
  <conditionalFormatting sqref="F352">
    <cfRule type="cellIs" dxfId="6" priority="1" operator="lessThan">
      <formula>0.3</formula>
    </cfRule>
  </conditionalFormatting>
  <dataValidations xWindow="656" yWindow="505" count="13">
    <dataValidation allowBlank="1" showErrorMessage="1" prompt="Select catchment conditon level from the completed catchment assessment form. " sqref="E9:E10 E237:E238 E275:E276 E313:E314 E47:E48 E85:E86 E123:E124 E161:E162 E199:E200 E351:E352" xr:uid="{00000000-0002-0000-0200-000004000000}"/>
    <dataValidation type="decimal" allowBlank="1" showInputMessage="1" showErrorMessage="1" sqref="E20:E22 E286:E288 E96:E98 E58:E60 E324:E326 E134:E136 E172:E174 E210:E212 E248:E250 E362:E364" xr:uid="{00000000-0002-0000-0200-000007000000}">
      <formula1>0</formula1>
      <formula2>5280</formula2>
    </dataValidation>
    <dataValidation type="whole" allowBlank="1" showInputMessage="1" showErrorMessage="1" sqref="E36 E302 E340 E74 E112 E150 E188 E226 E264 E378" xr:uid="{337C024A-B08C-47A3-B8F7-0F451CFF102A}">
      <formula1>0</formula1>
      <formula2>300</formula2>
    </dataValidation>
    <dataValidation type="decimal" allowBlank="1" showInputMessage="1" showErrorMessage="1" prompt="Measure if canopy cover is less than 20%." sqref="E327 E23 E289 E99 E61 E137 E175 E213 E251 E365" xr:uid="{63F78DCD-83AC-43C9-9C75-E801236943C8}">
      <formula1>0</formula1>
      <formula2>5280</formula2>
    </dataValidation>
    <dataValidation allowBlank="1" showInputMessage="1" showErrorMessage="1" prompt="The user can only input a value for either BEHI/NBS or Erosion Rate, not both. " sqref="E16 E282 E320 E54 E92 E130 E168 E206 E244 E358" xr:uid="{2F397454-F66E-4B35-8911-AC314F789792}"/>
    <dataValidation allowBlank="1" showInputMessage="1" showErrorMessage="1" prompt="The user can only input a value for either LWD Index OR # Pieces, not both." sqref="E356:E357 E280:E281 E318:E319 E52:E53 E90:E91 E128:E129 E166:E167 E204:E205 E242:E243 E14:E15" xr:uid="{11518740-7548-4AEE-BD3D-688693FF0747}"/>
    <dataValidation allowBlank="1" showInputMessage="1" showErrorMessage="1" prompt="Applicable only when armoring is present or proposed. This metric should be used in combination with either Erosion Rate or Dominant BEHI/NBS." sqref="E19 E57 E95 E133 E171 E209 E247 E323 E285 E361" xr:uid="{5DEC971C-3EC7-4D37-B2BA-02C255770B8F}"/>
    <dataValidation type="decimal" allowBlank="1" showInputMessage="1" showErrorMessage="1" prompt="Applicable to projects with a Piedmont prairie vegetation community." sqref="E328 E290 E24 E100 E62 E138 E176 E214 E252 E366" xr:uid="{5A54E2CF-1D87-414D-9B26-6CAC9E5DFB53}">
      <formula1>0</formula1>
      <formula2>5280</formula2>
    </dataValidation>
    <dataValidation type="decimal" allowBlank="1" showInputMessage="1" showErrorMessage="1" prompt="This metric is not used for scoring." sqref="E102 E26 E64 E140 E178 E216 E254 E292 E330 E368" xr:uid="{1BC9E53D-0A9D-4A1F-BE7B-F2E0301C7618}">
      <formula1>0</formula1>
      <formula2>400</formula2>
    </dataValidation>
    <dataValidation type="decimal" allowBlank="1" showInputMessage="1" showErrorMessage="1" prompt="Applicable to project sites with a monoculture." sqref="E25 E101 E63 E139 E177 E215 E253 E291 E329 E367" xr:uid="{9CA226A1-F6E9-4B9C-99B8-496984E173E0}">
      <formula1>0</formula1>
      <formula2>400</formula2>
    </dataValidation>
    <dataValidation allowBlank="1" showInputMessage="1" showErrorMessage="1" prompt="This metric is only applicable to coldwater streams." sqref="E334 E296 E258 E220 E182 E144 E106 E68 E30 E372" xr:uid="{90645A4F-68D2-42D6-8FDF-96DD58C470A6}"/>
    <dataValidation allowBlank="1" showInputMessage="1" showErrorMessage="1" prompt="The user can only input a value for either TSS OR turbidity, not both." sqref="E34:E35 E72:E73 E110:E111 E148:E149 E186:E187 E224:E225 E262:E263 E300:E301 E338:E339 E376:E377" xr:uid="{58443F13-50F0-4E8D-BB75-953F3D981528}"/>
    <dataValidation allowBlank="1" showErrorMessage="1" sqref="D6 D44 D82 D120 D158 D196 D234 D272 D310 D348" xr:uid="{8CD8C49A-B3BC-4E5F-9DC0-68EBAA458961}"/>
  </dataValidations>
  <pageMargins left="0.25" right="0.25" top="0.75" bottom="0.75" header="0.3" footer="0.3"/>
  <pageSetup scale="72" fitToHeight="0" orientation="landscape" r:id="rId1"/>
  <headerFooter>
    <oddHeader>&amp;C&amp;"-,Bold"&amp;14SC SQT DEBIT CALCULATOR v1.1</oddHeader>
    <oddFooter>&amp;LSC SQT Debit Calculator v1.1
Existing Conditions</oddFooter>
  </headerFooter>
  <rowBreaks count="9" manualBreakCount="9">
    <brk id="38" max="16383" man="1"/>
    <brk id="76" max="16383" man="1"/>
    <brk id="114" max="16383" man="1"/>
    <brk id="152" max="16383" man="1"/>
    <brk id="190" max="16383" man="1"/>
    <brk id="228" max="16383" man="1"/>
    <brk id="266" max="16383" man="1"/>
    <brk id="304" max="16383" man="1"/>
    <brk id="342" max="16383" man="1"/>
  </rowBreaks>
  <extLst>
    <ext xmlns:x14="http://schemas.microsoft.com/office/spreadsheetml/2009/9/main" uri="{CCE6A557-97BC-4b89-ADB6-D9C93CAAB3DF}">
      <x14:dataValidations xmlns:xm="http://schemas.microsoft.com/office/excel/2006/main" xWindow="656" yWindow="505" count="10">
        <x14:dataValidation type="list" allowBlank="1" showErrorMessage="1" xr:uid="{E2036398-2B4D-488D-8144-9AAADCB59BB0}">
          <x14:formula1>
            <xm:f>'Pull Down Notes'!$B$63:$B$67</xm:f>
          </x14:formula1>
          <xm:sqref>D2 D306 D40 D78 D116 D154 D192 D230 D268 D344</xm:sqref>
        </x14:dataValidation>
        <x14:dataValidation type="list" allowBlank="1" showErrorMessage="1" xr:uid="{B650BB61-2B19-423E-821B-7931415B253C}">
          <x14:formula1>
            <xm:f>'Pull Down Notes'!$B$1:$B$15</xm:f>
          </x14:formula1>
          <xm:sqref>D3:D4 D307:D308 D41:D42 D79:D80 D117:D118 D155:D156 D193:D194 D231:D232 D269:D270 D345:D346</xm:sqref>
        </x14:dataValidation>
        <x14:dataValidation type="list" allowBlank="1" showInputMessage="1" showErrorMessage="1" xr:uid="{7774F08D-0563-4714-AE79-8AC238290084}">
          <x14:formula1>
            <xm:f>'Pull Down Notes'!$B$58:$B$61</xm:f>
          </x14:formula1>
          <xm:sqref>D5 D309 D43 D81 D119 D157 D195 D233 D271 D347</xm:sqref>
        </x14:dataValidation>
        <x14:dataValidation type="list" allowBlank="1" showInputMessage="1" showErrorMessage="1" xr:uid="{FBF819D3-1D5F-4EB7-B633-422F3D086290}">
          <x14:formula1>
            <xm:f>'Pull Down Notes'!$B$88:$B$92</xm:f>
          </x14:formula1>
          <xm:sqref>G3 G307 G41 G79 G117 G155 G193 G231 G269 G345</xm:sqref>
        </x14:dataValidation>
        <x14:dataValidation type="list" allowBlank="1" showInputMessage="1" showErrorMessage="1" xr:uid="{52201C21-D349-4FC4-8764-8BB3048E04E9}">
          <x14:formula1>
            <xm:f>'Pull Down Notes'!$B$82:$B$86</xm:f>
          </x14:formula1>
          <xm:sqref>G2:H2 G306:H306 G40:H40 G78:H78 G116:H116 G154:H154 G192:H192 G230:H230 G268:H268 G344:H344</xm:sqref>
        </x14:dataValidation>
        <x14:dataValidation type="list" allowBlank="1" showInputMessage="1" showErrorMessage="1" xr:uid="{D70C9C55-362A-45D8-B04E-51A071785009}">
          <x14:formula1>
            <xm:f>'Pull Down Notes'!$B$78:$B$80</xm:f>
          </x14:formula1>
          <xm:sqref>G4:H4 G308:H308 G42:H42 G80:H80 G118:H118 G156:H156 G194:H194 G232:H232 G270:H270 G346:H346</xm:sqref>
        </x14:dataValidation>
        <x14:dataValidation type="list" allowBlank="1" showInputMessage="1" showErrorMessage="1" xr:uid="{6EA78BCF-0734-4763-ABCD-022C03BA6D2C}">
          <x14:formula1>
            <xm:f>'Pull Down Notes'!$B$74:$B$76</xm:f>
          </x14:formula1>
          <xm:sqref>G5:H5 G309:H309 G43:H43 G81:H81 G119:H119 G157:H157 G195:H195 G233:H233 G271:H271 G347:H347</xm:sqref>
        </x14:dataValidation>
        <x14:dataValidation type="list" allowBlank="1" showInputMessage="1" showErrorMessage="1" xr:uid="{D8A21355-FF7D-4352-97B1-1FEBB529E37C}">
          <x14:formula1>
            <xm:f>'Pull Down Notes'!$F$37:$F$45</xm:f>
          </x14:formula1>
          <xm:sqref>J348 J6 J310 J272 J234 J196 J158 J120 J82 J44</xm:sqref>
        </x14:dataValidation>
        <x14:dataValidation type="list" allowBlank="1" showInputMessage="1" showErrorMessage="1" prompt="Select the dominant BEHI/NBS.  _x000a_If erosion rate was measured select blank. The user can only input a value for either BEHI/NBS or Erosion Rate, not both. " xr:uid="{C6C600F5-ED23-492B-B1CC-3B71CED3E854}">
          <x14:formula1>
            <xm:f>'Pull Down Notes'!$B$16:$B$52</xm:f>
          </x14:formula1>
          <xm:sqref>E169 E17 E321 E55 E93 E131 E207 E245 E283 E359</xm:sqref>
        </x14:dataValidation>
        <x14:dataValidation type="list" allowBlank="1" showInputMessage="1" showErrorMessage="1" xr:uid="{3D31093A-AEC8-4854-A8AC-F6FDF9B0263C}">
          <x14:formula1>
            <xm:f>'Pull Down Notes'!$B$94:$B$98</xm:f>
          </x14:formula1>
          <xm:sqref>G6:H6 G44:H44 G82:H82 G120:H120 G158:H158 G196:H196 G234:H234 G272:H272 G310:H310 G348:H348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0C54D-003D-4012-A188-C16FB4550240}">
  <dimension ref="A1:U125"/>
  <sheetViews>
    <sheetView zoomScaleNormal="100" workbookViewId="0">
      <selection activeCell="B11" sqref="B11"/>
    </sheetView>
  </sheetViews>
  <sheetFormatPr defaultColWidth="9.1328125" defaultRowHeight="14.25" x14ac:dyDescent="0.45"/>
  <cols>
    <col min="1" max="1" width="14.3984375" style="137" customWidth="1"/>
    <col min="2" max="2" width="14.3984375" style="42" customWidth="1"/>
    <col min="3" max="3" width="14.3984375" style="153" customWidth="1"/>
    <col min="4" max="4" width="14.3984375" style="42" customWidth="1"/>
    <col min="5" max="5" width="14.3984375" style="77" customWidth="1"/>
    <col min="6" max="6" width="14.3984375" style="153" customWidth="1"/>
    <col min="7" max="8" width="14.3984375" style="48" customWidth="1"/>
    <col min="9" max="13" width="14.3984375" style="5" customWidth="1"/>
    <col min="14" max="14" width="14.3984375" style="18" customWidth="1"/>
    <col min="15" max="15" width="14.3984375" style="137" customWidth="1"/>
    <col min="16" max="17" width="14.3984375" style="48" customWidth="1"/>
    <col min="18" max="18" width="14.3984375" style="153" customWidth="1"/>
    <col min="19" max="20" width="14.3984375" style="48" customWidth="1"/>
    <col min="21" max="21" width="20.86328125" style="176" customWidth="1"/>
    <col min="22" max="16384" width="9.1328125" style="48"/>
  </cols>
  <sheetData>
    <row r="1" spans="1:21" x14ac:dyDescent="0.45">
      <c r="A1" s="509" t="s">
        <v>287</v>
      </c>
      <c r="B1" s="509"/>
      <c r="C1" s="509"/>
      <c r="D1" s="509"/>
      <c r="E1" s="509"/>
      <c r="F1" s="509"/>
      <c r="G1" s="509"/>
      <c r="H1" s="509"/>
      <c r="I1" s="509"/>
      <c r="J1" s="509"/>
      <c r="K1" s="509"/>
      <c r="L1" s="509"/>
      <c r="M1" s="509"/>
      <c r="N1" s="509"/>
      <c r="O1" s="509"/>
      <c r="P1" s="509"/>
      <c r="Q1" s="509"/>
      <c r="R1" s="509"/>
      <c r="S1" s="509"/>
      <c r="T1" s="509"/>
      <c r="U1" s="510"/>
    </row>
    <row r="2" spans="1:21" ht="15.75" customHeight="1" x14ac:dyDescent="0.5">
      <c r="A2" s="511" t="s">
        <v>153</v>
      </c>
      <c r="B2" s="511"/>
      <c r="C2" s="512" t="s">
        <v>154</v>
      </c>
      <c r="D2" s="511"/>
      <c r="E2" s="513"/>
      <c r="F2" s="505" t="s">
        <v>155</v>
      </c>
      <c r="G2" s="506"/>
      <c r="H2" s="506"/>
      <c r="I2" s="506"/>
      <c r="J2" s="506"/>
      <c r="K2" s="506"/>
      <c r="L2" s="506"/>
      <c r="M2" s="506"/>
      <c r="N2" s="507"/>
      <c r="O2" s="505" t="s">
        <v>156</v>
      </c>
      <c r="P2" s="506"/>
      <c r="Q2" s="506"/>
      <c r="R2" s="505" t="s">
        <v>157</v>
      </c>
      <c r="S2" s="506"/>
      <c r="T2" s="506"/>
      <c r="U2" s="507"/>
    </row>
    <row r="3" spans="1:21" x14ac:dyDescent="0.45">
      <c r="A3" s="508" t="s">
        <v>123</v>
      </c>
      <c r="B3" s="508"/>
      <c r="C3" s="154" t="s">
        <v>0</v>
      </c>
      <c r="D3" s="45"/>
      <c r="E3" s="149"/>
      <c r="F3" s="154" t="s">
        <v>13</v>
      </c>
      <c r="G3" s="138"/>
      <c r="H3" s="138"/>
      <c r="I3" s="138"/>
      <c r="J3" s="138"/>
      <c r="K3" s="138"/>
      <c r="L3" s="138"/>
      <c r="M3" s="138"/>
      <c r="N3" s="47"/>
      <c r="O3" s="158" t="s">
        <v>281</v>
      </c>
      <c r="P3" s="46"/>
      <c r="Q3" s="46"/>
      <c r="R3" s="154" t="s">
        <v>367</v>
      </c>
      <c r="S3" s="138"/>
      <c r="T3" s="138"/>
      <c r="U3" s="175"/>
    </row>
    <row r="4" spans="1:21" s="1" customFormat="1" x14ac:dyDescent="0.45">
      <c r="A4" s="155"/>
      <c r="B4" s="21"/>
      <c r="C4" s="153" t="s">
        <v>240</v>
      </c>
      <c r="D4" s="135"/>
      <c r="E4" s="150"/>
      <c r="F4" s="153" t="s">
        <v>91</v>
      </c>
      <c r="G4" s="5"/>
      <c r="H4" s="5"/>
      <c r="I4" s="5"/>
      <c r="J4" s="5"/>
      <c r="K4" s="5"/>
      <c r="L4" s="5"/>
      <c r="M4" s="5"/>
      <c r="N4" s="18"/>
      <c r="O4" s="137" t="s">
        <v>68</v>
      </c>
      <c r="P4" s="48"/>
      <c r="Q4" s="13"/>
      <c r="R4" s="253" t="s">
        <v>285</v>
      </c>
      <c r="S4" s="5" t="s">
        <v>267</v>
      </c>
      <c r="T4" s="5"/>
      <c r="U4" s="18"/>
    </row>
    <row r="5" spans="1:21" x14ac:dyDescent="0.45">
      <c r="A5" s="48" t="s">
        <v>240</v>
      </c>
      <c r="B5" s="133"/>
      <c r="C5" s="153" t="s">
        <v>61</v>
      </c>
      <c r="D5" s="135">
        <v>-1.4</v>
      </c>
      <c r="E5" s="151"/>
      <c r="G5" s="77" t="s">
        <v>64</v>
      </c>
      <c r="H5" s="77" t="s">
        <v>46</v>
      </c>
      <c r="I5" s="77"/>
      <c r="J5" s="77"/>
      <c r="K5" s="77"/>
      <c r="L5" s="77"/>
      <c r="M5" s="77"/>
      <c r="N5" s="30"/>
      <c r="P5" s="48" t="s">
        <v>126</v>
      </c>
      <c r="Q5" s="13"/>
      <c r="R5" s="253"/>
      <c r="S5" s="254" t="s">
        <v>63</v>
      </c>
      <c r="T5" s="254" t="s">
        <v>70</v>
      </c>
      <c r="U5" s="251" t="s">
        <v>46</v>
      </c>
    </row>
    <row r="6" spans="1:21" x14ac:dyDescent="0.45">
      <c r="A6" s="168" t="s">
        <v>61</v>
      </c>
      <c r="B6" s="134">
        <v>-4.2900000000000001E-2</v>
      </c>
      <c r="C6" s="153" t="s">
        <v>62</v>
      </c>
      <c r="D6" s="136">
        <v>2.4</v>
      </c>
      <c r="E6" s="152"/>
      <c r="F6" s="153" t="s">
        <v>61</v>
      </c>
      <c r="G6" s="5">
        <v>1.9719999999999998E-3</v>
      </c>
      <c r="H6" s="5">
        <v>7.9799999999999999E-4</v>
      </c>
      <c r="O6" s="137" t="s">
        <v>61</v>
      </c>
      <c r="P6" s="141">
        <v>-5.282685512367491E-2</v>
      </c>
      <c r="Q6" s="13"/>
      <c r="R6" s="255" t="s">
        <v>61</v>
      </c>
      <c r="S6" s="256">
        <v>1.5789473684210527E-2</v>
      </c>
      <c r="T6" s="256">
        <v>4.4444444444444439E-2</v>
      </c>
      <c r="U6" s="260">
        <v>3.7500000000000006E-2</v>
      </c>
    </row>
    <row r="7" spans="1:21" x14ac:dyDescent="0.45">
      <c r="A7" s="168" t="s">
        <v>62</v>
      </c>
      <c r="B7" s="133">
        <v>3.3571</v>
      </c>
      <c r="C7" s="154" t="s">
        <v>241</v>
      </c>
      <c r="D7" s="45"/>
      <c r="E7" s="149"/>
      <c r="F7" s="153" t="s">
        <v>62</v>
      </c>
      <c r="G7" s="5">
        <v>0</v>
      </c>
      <c r="H7" s="142">
        <v>0.41675499999999999</v>
      </c>
      <c r="I7" s="142"/>
      <c r="J7" s="142"/>
      <c r="K7" s="142"/>
      <c r="L7" s="142"/>
      <c r="M7" s="142"/>
      <c r="N7" s="148"/>
      <c r="O7" s="137" t="s">
        <v>62</v>
      </c>
      <c r="P7" s="141">
        <v>4.0708480565371019</v>
      </c>
      <c r="Q7" s="13"/>
      <c r="R7" s="255" t="s">
        <v>62</v>
      </c>
      <c r="S7" s="257">
        <v>0</v>
      </c>
      <c r="T7" s="256">
        <v>-0.54444444444444429</v>
      </c>
      <c r="U7" s="262">
        <v>-0.3500000000000002</v>
      </c>
    </row>
    <row r="8" spans="1:21" x14ac:dyDescent="0.45">
      <c r="A8" s="508" t="s">
        <v>158</v>
      </c>
      <c r="B8" s="508"/>
      <c r="C8" s="153" t="s">
        <v>68</v>
      </c>
      <c r="D8" s="48"/>
      <c r="E8" s="48"/>
      <c r="F8" s="154" t="s">
        <v>186</v>
      </c>
      <c r="G8" s="138"/>
      <c r="H8" s="138"/>
      <c r="I8" s="138"/>
      <c r="J8" s="138"/>
      <c r="K8" s="138"/>
      <c r="L8" s="138"/>
      <c r="M8" s="138"/>
      <c r="N8" s="47"/>
      <c r="O8" s="46" t="s">
        <v>365</v>
      </c>
      <c r="P8" s="66"/>
      <c r="Q8" s="66"/>
      <c r="R8" s="258" t="s">
        <v>368</v>
      </c>
      <c r="S8" s="138"/>
      <c r="T8" s="138"/>
      <c r="U8" s="175"/>
    </row>
    <row r="9" spans="1:21" x14ac:dyDescent="0.45">
      <c r="A9" s="48" t="s">
        <v>68</v>
      </c>
      <c r="B9" s="48"/>
      <c r="D9" s="82" t="s">
        <v>64</v>
      </c>
      <c r="E9" s="82" t="s">
        <v>46</v>
      </c>
      <c r="F9" s="153" t="s">
        <v>91</v>
      </c>
      <c r="G9" s="5"/>
      <c r="H9" s="5"/>
      <c r="O9" s="48" t="s">
        <v>68</v>
      </c>
      <c r="R9" s="153" t="s">
        <v>285</v>
      </c>
      <c r="S9" s="5" t="s">
        <v>267</v>
      </c>
      <c r="T9" s="5"/>
    </row>
    <row r="10" spans="1:21" x14ac:dyDescent="0.45">
      <c r="A10" s="48" t="s">
        <v>61</v>
      </c>
      <c r="B10" s="48">
        <v>-0.3</v>
      </c>
      <c r="C10" s="153" t="s">
        <v>61</v>
      </c>
      <c r="D10" s="48">
        <v>0.58330000000000004</v>
      </c>
      <c r="E10" s="48">
        <v>5.8799999999999998E-2</v>
      </c>
      <c r="G10" s="77" t="s">
        <v>64</v>
      </c>
      <c r="H10" s="77" t="s">
        <v>46</v>
      </c>
      <c r="I10" s="77"/>
      <c r="J10" s="77"/>
      <c r="K10" s="77"/>
      <c r="L10" s="77"/>
      <c r="M10" s="77"/>
      <c r="N10" s="30"/>
      <c r="O10" s="48"/>
      <c r="P10" s="48" t="s">
        <v>283</v>
      </c>
      <c r="Q10" s="48" t="s">
        <v>46</v>
      </c>
      <c r="S10" s="254" t="s">
        <v>63</v>
      </c>
      <c r="T10" s="254" t="s">
        <v>70</v>
      </c>
      <c r="U10" s="170" t="s">
        <v>46</v>
      </c>
    </row>
    <row r="11" spans="1:21" x14ac:dyDescent="0.45">
      <c r="A11" s="48" t="s">
        <v>62</v>
      </c>
      <c r="B11" s="48">
        <v>1</v>
      </c>
      <c r="C11" s="153" t="s">
        <v>62</v>
      </c>
      <c r="D11" s="48">
        <v>-0.58330000000000004</v>
      </c>
      <c r="E11" s="48">
        <v>0.5706</v>
      </c>
      <c r="F11" s="153" t="s">
        <v>61</v>
      </c>
      <c r="G11" s="5">
        <v>4.3799999999999999E-2</v>
      </c>
      <c r="H11" s="5">
        <v>2.5000000000000001E-2</v>
      </c>
      <c r="O11" s="250" t="s">
        <v>61</v>
      </c>
      <c r="P11" s="141">
        <v>-1.7543859649122805E-3</v>
      </c>
      <c r="Q11" s="141">
        <v>-3.4883720930232562E-3</v>
      </c>
      <c r="R11" s="153" t="s">
        <v>61</v>
      </c>
      <c r="S11" s="141">
        <v>2.1428571428571429E-2</v>
      </c>
      <c r="T11" s="141">
        <v>5.7142857142857141E-2</v>
      </c>
      <c r="U11" s="260">
        <v>4.2857142857142871E-2</v>
      </c>
    </row>
    <row r="12" spans="1:21" x14ac:dyDescent="0.45">
      <c r="C12" s="154" t="s">
        <v>242</v>
      </c>
      <c r="D12" s="45"/>
      <c r="E12" s="149"/>
      <c r="F12" s="153" t="s">
        <v>62</v>
      </c>
      <c r="G12" s="5">
        <v>0</v>
      </c>
      <c r="H12" s="5">
        <v>0.3</v>
      </c>
      <c r="O12" s="250" t="s">
        <v>62</v>
      </c>
      <c r="P12" s="141">
        <v>0.91228070175438591</v>
      </c>
      <c r="Q12" s="141">
        <v>1.1220930232558139</v>
      </c>
      <c r="R12" s="153" t="s">
        <v>62</v>
      </c>
      <c r="S12" s="252">
        <v>0</v>
      </c>
      <c r="T12" s="259">
        <v>-0.5</v>
      </c>
      <c r="U12" s="261">
        <v>-0.20000000000000029</v>
      </c>
    </row>
    <row r="13" spans="1:21" x14ac:dyDescent="0.45">
      <c r="C13" s="153" t="s">
        <v>68</v>
      </c>
      <c r="D13" s="48"/>
      <c r="E13" s="48"/>
      <c r="F13" s="154" t="s">
        <v>187</v>
      </c>
      <c r="G13" s="138"/>
      <c r="H13" s="138"/>
      <c r="I13" s="138"/>
      <c r="J13" s="138"/>
      <c r="K13" s="138"/>
      <c r="L13" s="138"/>
      <c r="M13" s="138"/>
      <c r="N13" s="47"/>
      <c r="R13" s="258" t="s">
        <v>369</v>
      </c>
      <c r="S13" s="138"/>
      <c r="T13" s="138"/>
      <c r="U13" s="175"/>
    </row>
    <row r="14" spans="1:21" x14ac:dyDescent="0.45">
      <c r="D14" s="82" t="s">
        <v>64</v>
      </c>
      <c r="E14" s="82" t="s">
        <v>46</v>
      </c>
      <c r="F14" s="153" t="s">
        <v>68</v>
      </c>
      <c r="G14" s="5"/>
      <c r="H14" s="5"/>
      <c r="O14" s="137" t="s">
        <v>377</v>
      </c>
      <c r="R14" s="153" t="s">
        <v>285</v>
      </c>
      <c r="S14" s="5" t="s">
        <v>267</v>
      </c>
      <c r="T14" s="5"/>
    </row>
    <row r="15" spans="1:21" ht="15" customHeight="1" x14ac:dyDescent="0.45">
      <c r="C15" s="153" t="s">
        <v>61</v>
      </c>
      <c r="D15" s="48">
        <v>0.58330000000000004</v>
      </c>
      <c r="E15" s="48">
        <v>3.85E-2</v>
      </c>
      <c r="G15" s="5" t="s">
        <v>63</v>
      </c>
      <c r="H15" s="5" t="s">
        <v>70</v>
      </c>
      <c r="I15" s="5" t="s">
        <v>46</v>
      </c>
      <c r="O15" s="137" t="s">
        <v>9</v>
      </c>
      <c r="P15" s="48">
        <v>0</v>
      </c>
      <c r="S15" s="5" t="s">
        <v>63</v>
      </c>
      <c r="T15" s="5" t="s">
        <v>70</v>
      </c>
      <c r="U15" s="176" t="s">
        <v>46</v>
      </c>
    </row>
    <row r="16" spans="1:21" x14ac:dyDescent="0.45">
      <c r="C16" s="153" t="s">
        <v>62</v>
      </c>
      <c r="D16" s="48">
        <v>-0.58330000000000004</v>
      </c>
      <c r="E16" s="48">
        <v>0.61539999999999995</v>
      </c>
      <c r="F16" s="153" t="s">
        <v>61</v>
      </c>
      <c r="G16" s="5">
        <v>-0.9677</v>
      </c>
      <c r="H16" s="5">
        <v>-2</v>
      </c>
      <c r="I16" s="5">
        <v>-3</v>
      </c>
      <c r="O16" s="137" t="s">
        <v>8</v>
      </c>
      <c r="P16" s="48">
        <v>520</v>
      </c>
      <c r="R16" s="153" t="s">
        <v>61</v>
      </c>
      <c r="S16" s="5">
        <v>0.06</v>
      </c>
      <c r="T16" s="142">
        <v>7.9999999999999988E-2</v>
      </c>
      <c r="U16" s="177">
        <v>6.0000000000000012E-2</v>
      </c>
    </row>
    <row r="17" spans="1:21" x14ac:dyDescent="0.45">
      <c r="C17" s="154" t="s">
        <v>243</v>
      </c>
      <c r="D17" s="92"/>
      <c r="E17" s="149"/>
      <c r="F17" s="153" t="s">
        <v>62</v>
      </c>
      <c r="G17" s="5">
        <v>0.68710000000000004</v>
      </c>
      <c r="H17" s="5">
        <v>1.1000000000000001</v>
      </c>
      <c r="I17" s="5">
        <v>1.3</v>
      </c>
      <c r="R17" s="153" t="s">
        <v>62</v>
      </c>
      <c r="S17" s="5">
        <v>0</v>
      </c>
      <c r="T17" s="142">
        <v>-9.9999999999999867E-2</v>
      </c>
      <c r="U17" s="176">
        <v>9.9999999999999867E-2</v>
      </c>
    </row>
    <row r="18" spans="1:21" x14ac:dyDescent="0.45">
      <c r="A18" s="156"/>
      <c r="B18" s="20"/>
      <c r="C18" s="153" t="s">
        <v>68</v>
      </c>
      <c r="D18" s="48"/>
      <c r="E18" s="48"/>
      <c r="F18" s="154" t="s">
        <v>48</v>
      </c>
      <c r="G18" s="138"/>
      <c r="H18" s="138"/>
      <c r="I18" s="138"/>
      <c r="J18" s="138"/>
      <c r="K18" s="138"/>
      <c r="L18" s="138"/>
      <c r="M18" s="138"/>
      <c r="N18" s="47"/>
      <c r="O18" s="169" t="s">
        <v>282</v>
      </c>
      <c r="P18" s="66"/>
      <c r="Q18" s="66"/>
      <c r="R18" s="154" t="s">
        <v>360</v>
      </c>
      <c r="S18" s="138"/>
      <c r="T18" s="138"/>
      <c r="U18" s="175"/>
    </row>
    <row r="19" spans="1:21" x14ac:dyDescent="0.45">
      <c r="A19" s="156"/>
      <c r="B19" s="43"/>
      <c r="D19" s="82" t="s">
        <v>64</v>
      </c>
      <c r="E19" s="82" t="s">
        <v>46</v>
      </c>
      <c r="F19" s="153" t="s">
        <v>68</v>
      </c>
      <c r="G19" s="5"/>
      <c r="H19" s="5"/>
      <c r="I19" s="139"/>
      <c r="J19" s="139"/>
      <c r="K19" s="139"/>
      <c r="L19" s="139"/>
      <c r="M19" s="139"/>
      <c r="N19" s="62"/>
      <c r="O19" s="137" t="s">
        <v>91</v>
      </c>
      <c r="R19" s="153" t="s">
        <v>68</v>
      </c>
      <c r="S19" s="5"/>
      <c r="T19" s="5"/>
    </row>
    <row r="20" spans="1:21" x14ac:dyDescent="0.45">
      <c r="C20" s="153" t="s">
        <v>61</v>
      </c>
      <c r="D20" s="48">
        <v>1.75</v>
      </c>
      <c r="E20" s="48">
        <v>0.5</v>
      </c>
      <c r="G20" s="77" t="s">
        <v>64</v>
      </c>
      <c r="H20" s="77" t="s">
        <v>46</v>
      </c>
      <c r="I20" s="139"/>
      <c r="J20" s="139"/>
      <c r="K20" s="139"/>
      <c r="L20" s="139"/>
      <c r="M20" s="139"/>
      <c r="N20" s="62"/>
      <c r="P20" s="96" t="s">
        <v>283</v>
      </c>
      <c r="Q20" s="96" t="s">
        <v>46</v>
      </c>
      <c r="S20" s="5" t="s">
        <v>283</v>
      </c>
      <c r="T20" s="5" t="s">
        <v>46</v>
      </c>
    </row>
    <row r="21" spans="1:21" x14ac:dyDescent="0.45">
      <c r="C21" s="153" t="s">
        <v>62</v>
      </c>
      <c r="D21" s="48">
        <v>-1.75</v>
      </c>
      <c r="E21" s="48">
        <v>0</v>
      </c>
      <c r="F21" s="153" t="s">
        <v>61</v>
      </c>
      <c r="G21" s="5">
        <v>-1.7899999999999999E-2</v>
      </c>
      <c r="H21" s="5">
        <v>-0.05</v>
      </c>
      <c r="I21" s="140"/>
      <c r="J21" s="140"/>
      <c r="K21" s="140"/>
      <c r="L21" s="140"/>
      <c r="M21" s="140"/>
      <c r="N21" s="65"/>
      <c r="O21" s="137" t="s">
        <v>61</v>
      </c>
      <c r="P21" s="147">
        <v>-0.46666666666666679</v>
      </c>
      <c r="Q21" s="277">
        <v>-0.75</v>
      </c>
      <c r="R21" s="153" t="s">
        <v>61</v>
      </c>
      <c r="S21" s="256">
        <v>0.66666666666666663</v>
      </c>
      <c r="T21" s="256">
        <v>0.31578947368421051</v>
      </c>
    </row>
    <row r="22" spans="1:21" x14ac:dyDescent="0.45">
      <c r="C22" s="154" t="s">
        <v>244</v>
      </c>
      <c r="D22" s="63"/>
      <c r="E22" s="63"/>
      <c r="F22" s="153" t="s">
        <v>62</v>
      </c>
      <c r="G22" s="5">
        <v>0.89739999999999998</v>
      </c>
      <c r="H22" s="5">
        <v>1.25</v>
      </c>
      <c r="I22" s="139"/>
      <c r="J22" s="139"/>
      <c r="K22" s="139"/>
      <c r="L22" s="139"/>
      <c r="M22" s="139"/>
      <c r="N22" s="62"/>
      <c r="O22" s="137" t="s">
        <v>62</v>
      </c>
      <c r="P22" s="147">
        <v>1.0733333333333333</v>
      </c>
      <c r="Q22" s="277">
        <v>1.3</v>
      </c>
      <c r="R22" s="153" t="s">
        <v>62</v>
      </c>
      <c r="S22" s="256">
        <v>0.66666666666666663</v>
      </c>
      <c r="T22" s="256">
        <v>0.68421052631578949</v>
      </c>
    </row>
    <row r="23" spans="1:21" x14ac:dyDescent="0.45">
      <c r="C23" s="153" t="s">
        <v>68</v>
      </c>
      <c r="D23" s="48"/>
      <c r="E23" s="48"/>
      <c r="F23" s="154" t="s">
        <v>124</v>
      </c>
      <c r="G23" s="138"/>
      <c r="H23" s="138"/>
      <c r="I23" s="138"/>
      <c r="J23" s="138"/>
      <c r="K23" s="138"/>
      <c r="L23" s="138"/>
      <c r="M23" s="138"/>
      <c r="N23" s="47"/>
      <c r="O23" s="158" t="s">
        <v>284</v>
      </c>
      <c r="P23" s="46"/>
      <c r="Q23" s="46"/>
      <c r="R23" s="154" t="s">
        <v>361</v>
      </c>
      <c r="S23" s="138"/>
      <c r="T23" s="138"/>
      <c r="U23" s="175"/>
    </row>
    <row r="24" spans="1:21" x14ac:dyDescent="0.45">
      <c r="D24" s="48" t="s">
        <v>245</v>
      </c>
      <c r="E24" s="48" t="s">
        <v>72</v>
      </c>
      <c r="F24" s="153" t="s">
        <v>110</v>
      </c>
      <c r="G24" s="5"/>
      <c r="H24" s="139"/>
      <c r="I24" s="139"/>
      <c r="J24" s="139"/>
      <c r="K24" s="139"/>
      <c r="L24" s="139"/>
      <c r="M24" s="139"/>
      <c r="N24" s="62"/>
      <c r="O24" s="137" t="s">
        <v>91</v>
      </c>
      <c r="R24" s="153" t="s">
        <v>68</v>
      </c>
      <c r="S24" s="5"/>
      <c r="T24" s="5"/>
    </row>
    <row r="25" spans="1:21" ht="15" customHeight="1" x14ac:dyDescent="0.45">
      <c r="C25" s="153" t="s">
        <v>61</v>
      </c>
      <c r="D25" s="48">
        <v>1.25</v>
      </c>
      <c r="E25" s="48">
        <v>-1.25</v>
      </c>
      <c r="F25" s="153" t="s">
        <v>61</v>
      </c>
      <c r="G25" s="143">
        <v>-3.3300000000000003E-2</v>
      </c>
      <c r="H25" s="140"/>
      <c r="I25" s="140"/>
      <c r="J25" s="140"/>
      <c r="K25" s="140"/>
      <c r="L25" s="140"/>
      <c r="M25" s="140"/>
      <c r="N25" s="65"/>
      <c r="P25" s="96" t="s">
        <v>283</v>
      </c>
      <c r="Q25" s="96" t="s">
        <v>46</v>
      </c>
      <c r="S25" s="5" t="s">
        <v>283</v>
      </c>
      <c r="T25" s="5" t="s">
        <v>46</v>
      </c>
    </row>
    <row r="26" spans="1:21" x14ac:dyDescent="0.45">
      <c r="C26" s="153" t="s">
        <v>62</v>
      </c>
      <c r="D26" s="48">
        <v>-0.25</v>
      </c>
      <c r="E26" s="48">
        <v>2.25</v>
      </c>
      <c r="F26" s="153" t="s">
        <v>62</v>
      </c>
      <c r="G26" s="143">
        <v>1</v>
      </c>
      <c r="H26" s="139"/>
      <c r="I26" s="139"/>
      <c r="J26" s="139"/>
      <c r="K26" s="139"/>
      <c r="L26" s="139"/>
      <c r="M26" s="139"/>
      <c r="N26" s="62"/>
      <c r="O26" s="137" t="s">
        <v>61</v>
      </c>
      <c r="P26" s="147">
        <v>-5.8333333333333313</v>
      </c>
      <c r="Q26" s="96">
        <v>-7.5000000000000009</v>
      </c>
      <c r="R26" s="153" t="s">
        <v>61</v>
      </c>
      <c r="S26" s="141">
        <v>0.69860279441117767</v>
      </c>
      <c r="T26" s="141">
        <v>0.3006012024048097</v>
      </c>
    </row>
    <row r="27" spans="1:21" x14ac:dyDescent="0.45">
      <c r="F27" s="154" t="s">
        <v>246</v>
      </c>
      <c r="G27" s="138"/>
      <c r="H27" s="138"/>
      <c r="I27" s="138"/>
      <c r="J27" s="138"/>
      <c r="K27" s="138"/>
      <c r="L27" s="138"/>
      <c r="M27" s="138"/>
      <c r="N27" s="47"/>
      <c r="O27" s="137" t="s">
        <v>62</v>
      </c>
      <c r="P27" s="147">
        <v>1.1666666666666665</v>
      </c>
      <c r="Q27" s="96">
        <v>1.3</v>
      </c>
      <c r="R27" s="153" t="s">
        <v>62</v>
      </c>
      <c r="S27" s="141">
        <v>0.69860279441117767</v>
      </c>
      <c r="T27" s="141">
        <v>0.6993987975951903</v>
      </c>
    </row>
    <row r="28" spans="1:21" x14ac:dyDescent="0.45">
      <c r="F28" s="153" t="s">
        <v>68</v>
      </c>
      <c r="I28" s="48"/>
      <c r="K28" s="48"/>
      <c r="L28" s="48"/>
      <c r="M28" s="48"/>
      <c r="R28" s="154" t="s">
        <v>362</v>
      </c>
      <c r="S28" s="138"/>
      <c r="T28" s="138"/>
      <c r="U28" s="175"/>
    </row>
    <row r="29" spans="1:21" x14ac:dyDescent="0.45">
      <c r="G29" s="515" t="s">
        <v>247</v>
      </c>
      <c r="H29" s="515"/>
      <c r="I29" s="515" t="s">
        <v>248</v>
      </c>
      <c r="J29" s="515"/>
      <c r="K29" s="515" t="s">
        <v>249</v>
      </c>
      <c r="L29" s="515"/>
      <c r="M29" s="516" t="s">
        <v>250</v>
      </c>
      <c r="N29" s="517"/>
      <c r="O29" s="158" t="s">
        <v>366</v>
      </c>
      <c r="P29" s="46"/>
      <c r="Q29" s="46"/>
      <c r="R29" s="153" t="s">
        <v>68</v>
      </c>
    </row>
    <row r="30" spans="1:21" x14ac:dyDescent="0.45">
      <c r="G30" s="82" t="s">
        <v>64</v>
      </c>
      <c r="H30" s="82" t="s">
        <v>46</v>
      </c>
      <c r="I30" s="82" t="s">
        <v>64</v>
      </c>
      <c r="J30" s="77" t="s">
        <v>46</v>
      </c>
      <c r="K30" s="82" t="s">
        <v>64</v>
      </c>
      <c r="L30" s="82" t="s">
        <v>46</v>
      </c>
      <c r="M30" s="82" t="s">
        <v>64</v>
      </c>
      <c r="N30" s="30" t="s">
        <v>46</v>
      </c>
      <c r="O30" s="137" t="s">
        <v>91</v>
      </c>
      <c r="S30" s="48" t="s">
        <v>283</v>
      </c>
      <c r="T30" s="48" t="s">
        <v>46</v>
      </c>
    </row>
    <row r="31" spans="1:21" x14ac:dyDescent="0.45">
      <c r="F31" s="153" t="s">
        <v>61</v>
      </c>
      <c r="G31" s="48">
        <v>1.4E-2</v>
      </c>
      <c r="H31" s="48">
        <v>1.1999999999999999E-3</v>
      </c>
      <c r="I31" s="48">
        <v>7.0000000000000001E-3</v>
      </c>
      <c r="J31" s="5">
        <v>1.5E-3</v>
      </c>
      <c r="K31" s="48">
        <v>4.7000000000000002E-3</v>
      </c>
      <c r="L31" s="48">
        <v>2E-3</v>
      </c>
      <c r="M31" s="48">
        <v>3.5000000000000001E-3</v>
      </c>
      <c r="N31" s="18">
        <v>3.0000000000000001E-3</v>
      </c>
      <c r="P31" s="250" t="s">
        <v>63</v>
      </c>
      <c r="Q31" s="250" t="s">
        <v>286</v>
      </c>
      <c r="R31" s="153" t="s">
        <v>61</v>
      </c>
      <c r="S31" s="141">
        <v>0.69651741293532343</v>
      </c>
      <c r="T31" s="141">
        <v>0.30150753768844224</v>
      </c>
    </row>
    <row r="32" spans="1:21" x14ac:dyDescent="0.45">
      <c r="F32" s="153" t="s">
        <v>62</v>
      </c>
      <c r="G32" s="48">
        <v>0</v>
      </c>
      <c r="H32" s="48">
        <v>0.64</v>
      </c>
      <c r="I32" s="48">
        <v>0</v>
      </c>
      <c r="J32" s="5">
        <v>0.55000000000000004</v>
      </c>
      <c r="K32" s="48">
        <v>0</v>
      </c>
      <c r="L32" s="48">
        <v>0.4</v>
      </c>
      <c r="M32" s="48">
        <v>0</v>
      </c>
      <c r="N32" s="18">
        <v>0.1</v>
      </c>
      <c r="O32" s="137" t="s">
        <v>61</v>
      </c>
      <c r="P32" s="250">
        <v>-6.0000000000000001E-3</v>
      </c>
      <c r="Q32" s="250">
        <v>-1.7500000000000002E-2</v>
      </c>
      <c r="R32" s="153" t="s">
        <v>62</v>
      </c>
      <c r="S32" s="141">
        <v>0.69651741293532332</v>
      </c>
      <c r="T32" s="141">
        <v>0.69849246231155782</v>
      </c>
    </row>
    <row r="33" spans="2:21" x14ac:dyDescent="0.45">
      <c r="B33" s="82"/>
      <c r="D33" s="82"/>
      <c r="F33" s="154" t="s">
        <v>251</v>
      </c>
      <c r="G33" s="138"/>
      <c r="H33" s="138"/>
      <c r="I33" s="138"/>
      <c r="J33" s="138"/>
      <c r="K33" s="138"/>
      <c r="L33" s="138"/>
      <c r="M33" s="138"/>
      <c r="N33" s="47"/>
      <c r="O33" s="137" t="s">
        <v>62</v>
      </c>
      <c r="P33" s="250">
        <v>0.6</v>
      </c>
      <c r="Q33" s="250">
        <v>1.175</v>
      </c>
      <c r="R33" s="154" t="s">
        <v>363</v>
      </c>
      <c r="S33" s="138"/>
      <c r="T33" s="138"/>
      <c r="U33" s="175"/>
    </row>
    <row r="34" spans="2:21" x14ac:dyDescent="0.45">
      <c r="F34" s="153" t="s">
        <v>68</v>
      </c>
      <c r="I34" s="48"/>
      <c r="K34" s="48"/>
      <c r="L34" s="48"/>
      <c r="M34" s="48"/>
      <c r="N34" s="62"/>
      <c r="R34" s="153" t="s">
        <v>68</v>
      </c>
    </row>
    <row r="35" spans="2:21" x14ac:dyDescent="0.45">
      <c r="G35" s="515" t="s">
        <v>247</v>
      </c>
      <c r="H35" s="515"/>
      <c r="I35" s="515" t="s">
        <v>248</v>
      </c>
      <c r="J35" s="515"/>
      <c r="K35" s="515" t="s">
        <v>249</v>
      </c>
      <c r="L35" s="515"/>
      <c r="M35" s="48" t="s">
        <v>250</v>
      </c>
      <c r="N35" s="62"/>
      <c r="S35" s="48" t="s">
        <v>283</v>
      </c>
      <c r="T35" s="48" t="s">
        <v>46</v>
      </c>
    </row>
    <row r="36" spans="2:21" x14ac:dyDescent="0.45">
      <c r="G36" s="82" t="s">
        <v>64</v>
      </c>
      <c r="H36" s="82" t="s">
        <v>46</v>
      </c>
      <c r="I36" s="82" t="s">
        <v>64</v>
      </c>
      <c r="J36" s="77" t="s">
        <v>46</v>
      </c>
      <c r="K36" s="82" t="s">
        <v>64</v>
      </c>
      <c r="L36" s="82" t="s">
        <v>46</v>
      </c>
      <c r="M36" s="93"/>
      <c r="N36" s="62"/>
      <c r="R36" s="153" t="s">
        <v>61</v>
      </c>
      <c r="S36" s="141">
        <v>0.53846153846153844</v>
      </c>
      <c r="T36" s="141">
        <v>0.4285714285714286</v>
      </c>
    </row>
    <row r="37" spans="2:21" x14ac:dyDescent="0.45">
      <c r="F37" s="153" t="s">
        <v>61</v>
      </c>
      <c r="G37" s="48">
        <v>1.17E-2</v>
      </c>
      <c r="H37" s="48">
        <v>1.2999999999999999E-3</v>
      </c>
      <c r="I37" s="48">
        <v>5.7999999999999996E-3</v>
      </c>
      <c r="J37" s="5">
        <v>1.6999999999999999E-3</v>
      </c>
      <c r="K37" s="48">
        <v>3.8999999999999998E-3</v>
      </c>
      <c r="L37" s="48">
        <v>2.5000000000000001E-3</v>
      </c>
      <c r="M37" s="48">
        <v>2.8999999999999998E-3</v>
      </c>
      <c r="N37" s="62"/>
      <c r="R37" s="153" t="s">
        <v>62</v>
      </c>
      <c r="S37" s="141">
        <v>0.53846153846153844</v>
      </c>
      <c r="T37" s="141">
        <v>0.5714285714285714</v>
      </c>
    </row>
    <row r="38" spans="2:21" x14ac:dyDescent="0.45">
      <c r="F38" s="153" t="s">
        <v>62</v>
      </c>
      <c r="G38" s="48">
        <v>0</v>
      </c>
      <c r="H38" s="48">
        <v>0.625</v>
      </c>
      <c r="I38" s="48">
        <v>0</v>
      </c>
      <c r="J38" s="5">
        <v>0.5</v>
      </c>
      <c r="K38" s="48">
        <f>1*10^(-16)</f>
        <v>9.9999999999999998E-17</v>
      </c>
      <c r="L38" s="48">
        <v>0.25</v>
      </c>
      <c r="M38" s="48">
        <v>0</v>
      </c>
      <c r="N38" s="62"/>
    </row>
    <row r="39" spans="2:21" x14ac:dyDescent="0.45">
      <c r="B39" s="82"/>
      <c r="D39" s="82"/>
      <c r="F39" s="154" t="s">
        <v>252</v>
      </c>
      <c r="G39" s="138"/>
      <c r="H39" s="138"/>
      <c r="I39" s="138"/>
      <c r="J39" s="138"/>
      <c r="K39" s="138"/>
      <c r="L39" s="138"/>
      <c r="M39" s="138"/>
      <c r="N39" s="47"/>
    </row>
    <row r="40" spans="2:21" x14ac:dyDescent="0.45">
      <c r="F40" s="153" t="s">
        <v>68</v>
      </c>
      <c r="G40" s="82"/>
      <c r="H40" s="82"/>
      <c r="I40" s="48"/>
      <c r="J40" s="77"/>
      <c r="K40" s="139"/>
      <c r="L40" s="139"/>
      <c r="M40" s="139"/>
      <c r="N40" s="62"/>
    </row>
    <row r="41" spans="2:21" ht="28.5" x14ac:dyDescent="0.45">
      <c r="G41" s="514" t="s">
        <v>253</v>
      </c>
      <c r="H41" s="514"/>
      <c r="I41" s="93" t="s">
        <v>254</v>
      </c>
      <c r="J41" s="144" t="s">
        <v>255</v>
      </c>
      <c r="K41" s="139"/>
      <c r="L41" s="139"/>
      <c r="M41" s="139"/>
      <c r="N41" s="62"/>
    </row>
    <row r="42" spans="2:21" x14ac:dyDescent="0.45">
      <c r="G42" s="82" t="s">
        <v>64</v>
      </c>
      <c r="H42" s="82" t="s">
        <v>46</v>
      </c>
      <c r="I42" s="82"/>
      <c r="J42" s="77"/>
      <c r="K42" s="139"/>
      <c r="L42" s="139"/>
      <c r="M42" s="139"/>
      <c r="N42" s="62"/>
    </row>
    <row r="43" spans="2:21" x14ac:dyDescent="0.45">
      <c r="F43" s="153" t="s">
        <v>61</v>
      </c>
      <c r="G43" s="48">
        <v>4.7000000000000002E-3</v>
      </c>
      <c r="H43" s="141">
        <v>2E-3</v>
      </c>
      <c r="I43" s="48">
        <v>3.0999999999999999E-3</v>
      </c>
      <c r="J43" s="5">
        <v>2.3E-3</v>
      </c>
      <c r="K43" s="139"/>
      <c r="L43" s="139"/>
      <c r="M43" s="139"/>
      <c r="N43" s="62"/>
    </row>
    <row r="44" spans="2:21" x14ac:dyDescent="0.45">
      <c r="F44" s="153" t="s">
        <v>62</v>
      </c>
      <c r="G44" s="48">
        <v>0</v>
      </c>
      <c r="H44" s="141">
        <v>0.4</v>
      </c>
      <c r="I44" s="48">
        <v>0</v>
      </c>
      <c r="J44" s="145">
        <v>-8.0000000000000006E-17</v>
      </c>
      <c r="K44" s="139"/>
      <c r="L44" s="139"/>
      <c r="M44" s="139"/>
      <c r="N44" s="62"/>
    </row>
    <row r="45" spans="2:21" x14ac:dyDescent="0.45">
      <c r="B45" s="82"/>
      <c r="D45" s="82"/>
      <c r="F45" s="154" t="s">
        <v>256</v>
      </c>
      <c r="G45" s="138"/>
      <c r="H45" s="138"/>
      <c r="I45" s="138"/>
      <c r="J45" s="138"/>
      <c r="K45" s="138"/>
      <c r="L45" s="138"/>
      <c r="M45" s="138"/>
      <c r="N45" s="47"/>
    </row>
    <row r="46" spans="2:21" x14ac:dyDescent="0.45">
      <c r="F46" s="153" t="s">
        <v>68</v>
      </c>
      <c r="I46" s="48"/>
      <c r="K46" s="139"/>
      <c r="L46" s="139"/>
      <c r="M46" s="139"/>
      <c r="N46" s="62"/>
    </row>
    <row r="47" spans="2:21" ht="28.5" x14ac:dyDescent="0.45">
      <c r="G47" s="515" t="s">
        <v>247</v>
      </c>
      <c r="H47" s="515"/>
      <c r="I47" s="93" t="s">
        <v>248</v>
      </c>
      <c r="J47" s="146" t="s">
        <v>249</v>
      </c>
      <c r="K47" s="139"/>
      <c r="L47" s="139"/>
      <c r="M47" s="139"/>
      <c r="N47" s="62"/>
    </row>
    <row r="48" spans="2:21" x14ac:dyDescent="0.45">
      <c r="G48" s="82" t="s">
        <v>64</v>
      </c>
      <c r="H48" s="82" t="s">
        <v>46</v>
      </c>
      <c r="I48" s="82"/>
      <c r="J48" s="77"/>
      <c r="K48" s="139"/>
      <c r="L48" s="139"/>
      <c r="M48" s="139"/>
      <c r="N48" s="62"/>
    </row>
    <row r="49" spans="1:14" x14ac:dyDescent="0.45">
      <c r="F49" s="153" t="s">
        <v>61</v>
      </c>
      <c r="G49" s="48">
        <v>4.7000000000000002E-3</v>
      </c>
      <c r="H49" s="141">
        <v>2E-3</v>
      </c>
      <c r="I49" s="48">
        <v>2.8E-3</v>
      </c>
      <c r="J49" s="5">
        <v>2E-3</v>
      </c>
      <c r="K49" s="139"/>
      <c r="L49" s="139"/>
      <c r="M49" s="139"/>
      <c r="N49" s="62"/>
    </row>
    <row r="50" spans="1:14" x14ac:dyDescent="0.45">
      <c r="B50" s="82"/>
      <c r="D50" s="82"/>
      <c r="F50" s="153" t="s">
        <v>62</v>
      </c>
      <c r="G50" s="48">
        <v>0</v>
      </c>
      <c r="H50" s="141">
        <v>0.4</v>
      </c>
      <c r="I50" s="48">
        <v>0</v>
      </c>
      <c r="J50" s="5">
        <f>1*10^(-16)</f>
        <v>9.9999999999999998E-17</v>
      </c>
      <c r="K50" s="139"/>
      <c r="L50" s="139"/>
      <c r="M50" s="139"/>
      <c r="N50" s="62"/>
    </row>
    <row r="51" spans="1:14" x14ac:dyDescent="0.45">
      <c r="F51" s="154" t="s">
        <v>257</v>
      </c>
      <c r="G51" s="138"/>
      <c r="H51" s="138"/>
      <c r="I51" s="138"/>
      <c r="J51" s="138"/>
      <c r="K51" s="138"/>
      <c r="L51" s="138"/>
      <c r="M51" s="138"/>
      <c r="N51" s="47"/>
    </row>
    <row r="52" spans="1:14" x14ac:dyDescent="0.45">
      <c r="F52" s="153" t="s">
        <v>68</v>
      </c>
    </row>
    <row r="53" spans="1:14" x14ac:dyDescent="0.45">
      <c r="F53" s="153" t="s">
        <v>61</v>
      </c>
      <c r="G53" s="48">
        <v>0.1075</v>
      </c>
    </row>
    <row r="54" spans="1:14" x14ac:dyDescent="0.45">
      <c r="F54" s="153" t="s">
        <v>62</v>
      </c>
      <c r="G54" s="48">
        <v>0</v>
      </c>
    </row>
    <row r="55" spans="1:14" x14ac:dyDescent="0.45">
      <c r="A55" s="157"/>
      <c r="B55" s="44"/>
      <c r="F55" s="154" t="s">
        <v>258</v>
      </c>
      <c r="G55" s="138"/>
      <c r="H55" s="138"/>
      <c r="I55" s="138"/>
      <c r="J55" s="138"/>
      <c r="K55" s="138"/>
      <c r="L55" s="138"/>
      <c r="M55" s="138"/>
      <c r="N55" s="47"/>
    </row>
    <row r="56" spans="1:14" x14ac:dyDescent="0.45">
      <c r="A56" s="157"/>
      <c r="B56" s="44"/>
      <c r="F56" s="153" t="s">
        <v>91</v>
      </c>
    </row>
    <row r="57" spans="1:14" x14ac:dyDescent="0.45">
      <c r="A57" s="157"/>
      <c r="B57" s="44"/>
      <c r="F57" s="153" t="s">
        <v>61</v>
      </c>
      <c r="G57" s="48">
        <v>7.4070000000000004E-3</v>
      </c>
      <c r="H57" s="48">
        <v>-4.7999999999999996E-3</v>
      </c>
    </row>
    <row r="58" spans="1:14" x14ac:dyDescent="0.45">
      <c r="A58" s="156"/>
      <c r="B58" s="43"/>
      <c r="F58" s="153" t="s">
        <v>62</v>
      </c>
      <c r="G58" s="48">
        <f>0</f>
        <v>0</v>
      </c>
      <c r="H58" s="48">
        <v>2.2595999999999998</v>
      </c>
    </row>
    <row r="59" spans="1:14" x14ac:dyDescent="0.45">
      <c r="F59" s="154" t="s">
        <v>125</v>
      </c>
      <c r="G59" s="138"/>
      <c r="H59" s="138"/>
      <c r="I59" s="138"/>
      <c r="J59" s="138"/>
      <c r="K59" s="138"/>
      <c r="L59" s="138"/>
      <c r="M59" s="138"/>
      <c r="N59" s="47"/>
    </row>
    <row r="60" spans="1:14" x14ac:dyDescent="0.45">
      <c r="F60" s="153" t="s">
        <v>91</v>
      </c>
    </row>
    <row r="61" spans="1:14" x14ac:dyDescent="0.45">
      <c r="F61" s="153" t="s">
        <v>61</v>
      </c>
      <c r="G61" s="48">
        <v>1.7669999999999999E-3</v>
      </c>
    </row>
    <row r="62" spans="1:14" x14ac:dyDescent="0.45">
      <c r="F62" s="153" t="s">
        <v>62</v>
      </c>
      <c r="G62" s="48">
        <f>0</f>
        <v>0</v>
      </c>
    </row>
    <row r="63" spans="1:14" x14ac:dyDescent="0.45">
      <c r="F63" s="154" t="s">
        <v>259</v>
      </c>
      <c r="G63" s="138"/>
      <c r="H63" s="138"/>
      <c r="I63" s="138"/>
      <c r="J63" s="138"/>
      <c r="K63" s="138"/>
      <c r="L63" s="138"/>
      <c r="M63" s="138"/>
      <c r="N63" s="47"/>
    </row>
    <row r="64" spans="1:14" x14ac:dyDescent="0.45">
      <c r="F64" s="153" t="s">
        <v>91</v>
      </c>
    </row>
    <row r="65" spans="6:14" x14ac:dyDescent="0.45">
      <c r="F65" s="153" t="s">
        <v>61</v>
      </c>
      <c r="G65" s="48">
        <v>1.3332999999999999E-2</v>
      </c>
    </row>
    <row r="66" spans="6:14" x14ac:dyDescent="0.45">
      <c r="F66" s="153" t="s">
        <v>62</v>
      </c>
      <c r="G66" s="48">
        <f>0</f>
        <v>0</v>
      </c>
    </row>
    <row r="67" spans="6:14" x14ac:dyDescent="0.45">
      <c r="F67" s="154" t="s">
        <v>190</v>
      </c>
      <c r="G67" s="138"/>
      <c r="H67" s="138"/>
      <c r="I67" s="138"/>
      <c r="J67" s="138"/>
      <c r="K67" s="138"/>
      <c r="L67" s="138"/>
      <c r="M67" s="138"/>
      <c r="N67" s="47"/>
    </row>
    <row r="68" spans="6:14" x14ac:dyDescent="0.45">
      <c r="F68" s="153" t="s">
        <v>91</v>
      </c>
    </row>
    <row r="69" spans="6:14" x14ac:dyDescent="0.45">
      <c r="F69" s="153" t="s">
        <v>61</v>
      </c>
      <c r="G69" s="48">
        <v>-0.01</v>
      </c>
    </row>
    <row r="70" spans="6:14" x14ac:dyDescent="0.45">
      <c r="F70" s="153" t="s">
        <v>62</v>
      </c>
      <c r="G70" s="48">
        <v>1</v>
      </c>
    </row>
    <row r="71" spans="6:14" x14ac:dyDescent="0.45">
      <c r="F71" s="154" t="s">
        <v>260</v>
      </c>
      <c r="G71" s="138"/>
      <c r="H71" s="138"/>
      <c r="I71" s="138"/>
      <c r="J71" s="138"/>
      <c r="K71" s="138"/>
      <c r="L71" s="138"/>
      <c r="M71" s="138"/>
      <c r="N71" s="47"/>
    </row>
    <row r="72" spans="6:14" x14ac:dyDescent="0.45">
      <c r="F72" s="153" t="s">
        <v>68</v>
      </c>
    </row>
    <row r="73" spans="6:14" x14ac:dyDescent="0.45">
      <c r="G73" s="48" t="s">
        <v>46</v>
      </c>
      <c r="H73" s="48" t="s">
        <v>261</v>
      </c>
    </row>
    <row r="74" spans="6:14" x14ac:dyDescent="0.45">
      <c r="F74" s="153" t="s">
        <v>61</v>
      </c>
      <c r="G74" s="82">
        <v>-0.3</v>
      </c>
      <c r="H74" s="48">
        <v>-0.4667</v>
      </c>
    </row>
    <row r="75" spans="6:14" x14ac:dyDescent="0.45">
      <c r="F75" s="153" t="s">
        <v>62</v>
      </c>
      <c r="G75" s="147">
        <v>2.2000000000000002</v>
      </c>
      <c r="H75" s="48">
        <v>3.0333000000000001</v>
      </c>
    </row>
    <row r="76" spans="6:14" x14ac:dyDescent="0.45">
      <c r="F76" s="154" t="s">
        <v>262</v>
      </c>
      <c r="G76" s="138"/>
      <c r="H76" s="138"/>
      <c r="I76" s="138"/>
      <c r="J76" s="138"/>
      <c r="K76" s="138"/>
      <c r="L76" s="138"/>
      <c r="M76" s="138"/>
      <c r="N76" s="47"/>
    </row>
    <row r="77" spans="6:14" x14ac:dyDescent="0.45">
      <c r="F77" s="153" t="s">
        <v>68</v>
      </c>
    </row>
    <row r="78" spans="6:14" x14ac:dyDescent="0.45">
      <c r="G78" s="48" t="s">
        <v>46</v>
      </c>
      <c r="H78" s="48" t="s">
        <v>261</v>
      </c>
    </row>
    <row r="79" spans="6:14" x14ac:dyDescent="0.45">
      <c r="F79" s="153" t="s">
        <v>61</v>
      </c>
      <c r="G79" s="82">
        <v>-0.3</v>
      </c>
      <c r="H79" s="48">
        <v>-0.35</v>
      </c>
    </row>
    <row r="80" spans="6:14" x14ac:dyDescent="0.45">
      <c r="F80" s="153" t="s">
        <v>62</v>
      </c>
      <c r="G80" s="147">
        <v>2.5</v>
      </c>
      <c r="H80" s="125">
        <v>2.8</v>
      </c>
    </row>
    <row r="81" spans="6:14" x14ac:dyDescent="0.45">
      <c r="F81" s="154" t="s">
        <v>263</v>
      </c>
      <c r="G81" s="138"/>
      <c r="H81" s="138"/>
      <c r="I81" s="138"/>
      <c r="J81" s="138"/>
      <c r="K81" s="138"/>
      <c r="L81" s="138"/>
      <c r="M81" s="138"/>
      <c r="N81" s="47"/>
    </row>
    <row r="82" spans="6:14" x14ac:dyDescent="0.45">
      <c r="F82" s="153" t="s">
        <v>68</v>
      </c>
    </row>
    <row r="83" spans="6:14" x14ac:dyDescent="0.45">
      <c r="G83" s="48" t="s">
        <v>71</v>
      </c>
      <c r="H83" s="48" t="s">
        <v>72</v>
      </c>
    </row>
    <row r="84" spans="6:14" x14ac:dyDescent="0.45">
      <c r="F84" s="153" t="s">
        <v>61</v>
      </c>
      <c r="G84" s="48">
        <v>0.4</v>
      </c>
      <c r="H84" s="48">
        <v>-0.33329999999999999</v>
      </c>
    </row>
    <row r="85" spans="6:14" x14ac:dyDescent="0.45">
      <c r="F85" s="153" t="s">
        <v>62</v>
      </c>
      <c r="G85" s="48">
        <v>-0.4</v>
      </c>
      <c r="H85" s="48">
        <v>3</v>
      </c>
    </row>
    <row r="86" spans="6:14" x14ac:dyDescent="0.45">
      <c r="F86" s="154" t="s">
        <v>264</v>
      </c>
      <c r="G86" s="138"/>
      <c r="H86" s="138"/>
      <c r="I86" s="138"/>
      <c r="J86" s="138"/>
      <c r="K86" s="138"/>
      <c r="L86" s="138"/>
      <c r="M86" s="138"/>
      <c r="N86" s="47"/>
    </row>
    <row r="87" spans="6:14" x14ac:dyDescent="0.45">
      <c r="F87" s="153" t="s">
        <v>68</v>
      </c>
      <c r="H87" s="82"/>
      <c r="I87" s="48"/>
    </row>
    <row r="88" spans="6:14" x14ac:dyDescent="0.45">
      <c r="G88" s="82" t="s">
        <v>63</v>
      </c>
      <c r="H88" s="82" t="s">
        <v>70</v>
      </c>
      <c r="I88" s="82" t="s">
        <v>46</v>
      </c>
    </row>
    <row r="89" spans="6:14" x14ac:dyDescent="0.45">
      <c r="F89" s="153" t="s">
        <v>61</v>
      </c>
      <c r="G89" s="48">
        <v>3</v>
      </c>
      <c r="H89" s="48">
        <v>1.3332999999999999</v>
      </c>
      <c r="I89" s="48">
        <v>1</v>
      </c>
    </row>
    <row r="90" spans="6:14" x14ac:dyDescent="0.45">
      <c r="F90" s="153" t="s">
        <v>62</v>
      </c>
      <c r="G90" s="48">
        <v>-3</v>
      </c>
      <c r="H90" s="48">
        <v>-1.1667000000000001</v>
      </c>
      <c r="I90" s="48">
        <v>-0.7</v>
      </c>
    </row>
    <row r="91" spans="6:14" x14ac:dyDescent="0.45">
      <c r="F91" s="154" t="s">
        <v>265</v>
      </c>
      <c r="G91" s="138"/>
      <c r="H91" s="138"/>
      <c r="I91" s="138"/>
      <c r="J91" s="138"/>
      <c r="K91" s="138"/>
      <c r="L91" s="138"/>
      <c r="M91" s="138"/>
      <c r="N91" s="47"/>
    </row>
    <row r="92" spans="6:14" x14ac:dyDescent="0.45">
      <c r="F92" s="153" t="s">
        <v>68</v>
      </c>
      <c r="H92" s="82"/>
      <c r="I92" s="48"/>
    </row>
    <row r="93" spans="6:14" x14ac:dyDescent="0.45">
      <c r="G93" s="82" t="s">
        <v>63</v>
      </c>
      <c r="H93" s="82" t="s">
        <v>70</v>
      </c>
      <c r="I93" s="82" t="s">
        <v>46</v>
      </c>
    </row>
    <row r="94" spans="6:14" x14ac:dyDescent="0.45">
      <c r="F94" s="153" t="s">
        <v>61</v>
      </c>
      <c r="G94" s="48">
        <v>0.3</v>
      </c>
      <c r="H94" s="48">
        <v>1.3332999999999999</v>
      </c>
      <c r="I94" s="48">
        <v>0.5</v>
      </c>
    </row>
    <row r="95" spans="6:14" x14ac:dyDescent="0.45">
      <c r="F95" s="153" t="s">
        <v>62</v>
      </c>
      <c r="G95" s="48">
        <v>-0.3</v>
      </c>
      <c r="H95" s="48">
        <v>-2.3666999999999998</v>
      </c>
      <c r="I95" s="48">
        <v>-0.45</v>
      </c>
    </row>
    <row r="96" spans="6:14" x14ac:dyDescent="0.45">
      <c r="F96" s="154" t="s">
        <v>266</v>
      </c>
      <c r="G96" s="138"/>
      <c r="H96" s="138"/>
      <c r="I96" s="138"/>
      <c r="J96" s="138"/>
      <c r="K96" s="138"/>
      <c r="L96" s="138"/>
      <c r="M96" s="138"/>
      <c r="N96" s="47"/>
    </row>
    <row r="97" spans="6:14" x14ac:dyDescent="0.45">
      <c r="F97" s="153" t="s">
        <v>68</v>
      </c>
      <c r="I97" s="48"/>
    </row>
    <row r="98" spans="6:14" x14ac:dyDescent="0.45">
      <c r="G98" s="48" t="s">
        <v>63</v>
      </c>
      <c r="H98" s="48" t="s">
        <v>70</v>
      </c>
      <c r="I98" s="48" t="s">
        <v>46</v>
      </c>
    </row>
    <row r="99" spans="6:14" x14ac:dyDescent="0.45">
      <c r="F99" s="153" t="s">
        <v>61</v>
      </c>
      <c r="G99" s="48">
        <v>1.5</v>
      </c>
      <c r="H99" s="48">
        <v>0.57140000000000002</v>
      </c>
      <c r="I99" s="48">
        <v>0.75</v>
      </c>
    </row>
    <row r="100" spans="6:14" x14ac:dyDescent="0.45">
      <c r="F100" s="153" t="s">
        <v>62</v>
      </c>
      <c r="G100" s="48">
        <v>-1.5</v>
      </c>
      <c r="H100" s="48">
        <v>-0.38569999999999999</v>
      </c>
      <c r="I100" s="48">
        <v>-0.72499999999999998</v>
      </c>
    </row>
    <row r="101" spans="6:14" x14ac:dyDescent="0.45">
      <c r="F101" s="154" t="s">
        <v>268</v>
      </c>
      <c r="G101" s="138"/>
      <c r="H101" s="138"/>
      <c r="I101" s="138"/>
      <c r="J101" s="138"/>
      <c r="K101" s="138"/>
      <c r="L101" s="138"/>
      <c r="M101" s="138"/>
      <c r="N101" s="47"/>
    </row>
    <row r="102" spans="6:14" x14ac:dyDescent="0.45">
      <c r="F102" s="153" t="s">
        <v>69</v>
      </c>
      <c r="G102" s="48" t="s">
        <v>267</v>
      </c>
      <c r="I102" s="48"/>
    </row>
    <row r="103" spans="6:14" x14ac:dyDescent="0.45">
      <c r="G103" s="48" t="s">
        <v>63</v>
      </c>
      <c r="H103" s="48" t="s">
        <v>70</v>
      </c>
      <c r="I103" s="48" t="s">
        <v>46</v>
      </c>
    </row>
    <row r="104" spans="6:14" x14ac:dyDescent="0.45">
      <c r="F104" s="153" t="s">
        <v>61</v>
      </c>
      <c r="G104" s="48">
        <v>0.75</v>
      </c>
      <c r="H104" s="48">
        <v>1.3332999999999999</v>
      </c>
      <c r="I104" s="48">
        <v>0.75</v>
      </c>
    </row>
    <row r="105" spans="6:14" x14ac:dyDescent="0.45">
      <c r="F105" s="153" t="s">
        <v>62</v>
      </c>
      <c r="G105" s="48">
        <v>-0.75</v>
      </c>
      <c r="H105" s="48">
        <v>-1.5667</v>
      </c>
      <c r="I105" s="48">
        <v>-0.57499999999999996</v>
      </c>
    </row>
    <row r="106" spans="6:14" x14ac:dyDescent="0.45">
      <c r="F106" s="154" t="s">
        <v>269</v>
      </c>
      <c r="G106" s="138"/>
      <c r="H106" s="138"/>
      <c r="I106" s="138"/>
      <c r="J106" s="138"/>
      <c r="K106" s="138"/>
      <c r="L106" s="138"/>
      <c r="M106" s="138"/>
      <c r="N106" s="47"/>
    </row>
    <row r="107" spans="6:14" x14ac:dyDescent="0.45">
      <c r="F107" s="153" t="s">
        <v>68</v>
      </c>
    </row>
    <row r="108" spans="6:14" x14ac:dyDescent="0.45">
      <c r="G108" s="48" t="s">
        <v>270</v>
      </c>
      <c r="H108" s="48" t="s">
        <v>271</v>
      </c>
    </row>
    <row r="109" spans="6:14" x14ac:dyDescent="0.45">
      <c r="F109" s="153" t="s">
        <v>61</v>
      </c>
      <c r="G109" s="48">
        <v>1.8519000000000001E-2</v>
      </c>
      <c r="H109" s="48">
        <v>-2.6315999999999999E-2</v>
      </c>
    </row>
    <row r="110" spans="6:14" x14ac:dyDescent="0.45">
      <c r="F110" s="153" t="s">
        <v>62</v>
      </c>
      <c r="H110" s="48">
        <v>2.6315789999999999</v>
      </c>
    </row>
    <row r="111" spans="6:14" x14ac:dyDescent="0.45">
      <c r="F111" s="154" t="s">
        <v>272</v>
      </c>
      <c r="G111" s="138"/>
      <c r="H111" s="138"/>
      <c r="I111" s="138"/>
      <c r="J111" s="138"/>
      <c r="K111" s="138"/>
      <c r="L111" s="138"/>
      <c r="M111" s="138"/>
      <c r="N111" s="47"/>
    </row>
    <row r="112" spans="6:14" x14ac:dyDescent="0.45">
      <c r="F112" s="153" t="s">
        <v>68</v>
      </c>
    </row>
    <row r="113" spans="6:14" x14ac:dyDescent="0.45">
      <c r="G113" s="48" t="s">
        <v>273</v>
      </c>
      <c r="H113" s="48" t="s">
        <v>274</v>
      </c>
    </row>
    <row r="114" spans="6:14" x14ac:dyDescent="0.45">
      <c r="F114" s="153" t="s">
        <v>61</v>
      </c>
      <c r="G114" s="48">
        <v>1.8867999999999999E-2</v>
      </c>
      <c r="H114" s="48">
        <v>-2.5641000000000001E-2</v>
      </c>
    </row>
    <row r="115" spans="6:14" x14ac:dyDescent="0.45">
      <c r="F115" s="153" t="s">
        <v>62</v>
      </c>
      <c r="H115" s="48">
        <v>2.5641029999999998</v>
      </c>
    </row>
    <row r="116" spans="6:14" x14ac:dyDescent="0.45">
      <c r="F116" s="154" t="s">
        <v>275</v>
      </c>
      <c r="G116" s="138"/>
      <c r="H116" s="138"/>
      <c r="I116" s="138"/>
      <c r="J116" s="138"/>
      <c r="K116" s="138"/>
      <c r="L116" s="138"/>
      <c r="M116" s="138"/>
      <c r="N116" s="47"/>
    </row>
    <row r="117" spans="6:14" x14ac:dyDescent="0.45">
      <c r="F117" s="153" t="s">
        <v>68</v>
      </c>
    </row>
    <row r="118" spans="6:14" x14ac:dyDescent="0.45">
      <c r="G118" s="48" t="s">
        <v>276</v>
      </c>
      <c r="H118" s="48" t="s">
        <v>277</v>
      </c>
    </row>
    <row r="119" spans="6:14" x14ac:dyDescent="0.45">
      <c r="F119" s="153" t="s">
        <v>61</v>
      </c>
      <c r="G119" s="48">
        <v>2.2700000000000001E-2</v>
      </c>
      <c r="H119" s="48">
        <v>-2.86E-2</v>
      </c>
    </row>
    <row r="120" spans="6:14" x14ac:dyDescent="0.45">
      <c r="F120" s="153" t="s">
        <v>62</v>
      </c>
      <c r="G120" s="48">
        <v>-2.2700000000000001E-2</v>
      </c>
      <c r="H120" s="48">
        <v>2.8571</v>
      </c>
    </row>
    <row r="121" spans="6:14" x14ac:dyDescent="0.45">
      <c r="F121" s="154" t="s">
        <v>278</v>
      </c>
      <c r="G121" s="138"/>
      <c r="H121" s="138"/>
      <c r="I121" s="138"/>
      <c r="J121" s="138"/>
      <c r="K121" s="138"/>
      <c r="L121" s="138"/>
      <c r="M121" s="138"/>
      <c r="N121" s="47"/>
    </row>
    <row r="122" spans="6:14" x14ac:dyDescent="0.45">
      <c r="F122" s="153" t="s">
        <v>68</v>
      </c>
    </row>
    <row r="123" spans="6:14" x14ac:dyDescent="0.45">
      <c r="F123" s="153" t="s">
        <v>61</v>
      </c>
      <c r="G123" s="48" t="s">
        <v>279</v>
      </c>
      <c r="H123" s="48" t="s">
        <v>280</v>
      </c>
    </row>
    <row r="124" spans="6:14" x14ac:dyDescent="0.45">
      <c r="F124" s="153" t="s">
        <v>61</v>
      </c>
      <c r="G124" s="48">
        <v>2.3300000000000001E-2</v>
      </c>
      <c r="H124" s="48">
        <v>-2.7E-2</v>
      </c>
    </row>
    <row r="125" spans="6:14" x14ac:dyDescent="0.45">
      <c r="F125" s="153" t="s">
        <v>62</v>
      </c>
      <c r="G125" s="48">
        <v>0</v>
      </c>
      <c r="H125" s="48">
        <v>2.7027000000000001</v>
      </c>
    </row>
  </sheetData>
  <sheetProtection algorithmName="SHA-512" hashValue="jHGknqHAVKfQ8YU5sjgwwq34iEFNrWT7IR42R90GEadqwLZVMkN7f3d9dLZR2xYJElr4fVuGwzIVuUfoIaqQ/g==" saltValue="/bGsuJUc+EI2IeH9ZaR7Eg==" spinCount="100000" sheet="1" objects="1" scenarios="1"/>
  <mergeCells count="17">
    <mergeCell ref="G41:H41"/>
    <mergeCell ref="G47:H47"/>
    <mergeCell ref="F2:N2"/>
    <mergeCell ref="G29:H29"/>
    <mergeCell ref="I29:J29"/>
    <mergeCell ref="K29:L29"/>
    <mergeCell ref="M29:N29"/>
    <mergeCell ref="G35:H35"/>
    <mergeCell ref="I35:J35"/>
    <mergeCell ref="K35:L35"/>
    <mergeCell ref="R2:U2"/>
    <mergeCell ref="O2:Q2"/>
    <mergeCell ref="A3:B3"/>
    <mergeCell ref="A1:U1"/>
    <mergeCell ref="A8:B8"/>
    <mergeCell ref="A2:B2"/>
    <mergeCell ref="C2:E2"/>
  </mergeCells>
  <pageMargins left="0.7" right="0.7" top="0.75" bottom="0.75" header="0.3" footer="0.3"/>
  <pageSetup scale="68" fitToWidth="3" fitToHeight="0" orientation="portrait" r:id="rId1"/>
  <colBreaks count="2" manualBreakCount="2">
    <brk id="5" max="1048575" man="1"/>
    <brk id="14" max="10485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98"/>
  <sheetViews>
    <sheetView workbookViewId="0">
      <selection activeCell="H13" sqref="H13"/>
    </sheetView>
  </sheetViews>
  <sheetFormatPr defaultRowHeight="14.25" x14ac:dyDescent="0.45"/>
  <cols>
    <col min="1" max="1" width="8.86328125" style="3"/>
    <col min="2" max="2" width="15.59765625" customWidth="1"/>
  </cols>
  <sheetData>
    <row r="1" spans="1:7" s="2" customFormat="1" x14ac:dyDescent="0.45">
      <c r="A1" s="3" t="s">
        <v>376</v>
      </c>
      <c r="E1" s="3" t="s">
        <v>130</v>
      </c>
      <c r="F1" s="48"/>
    </row>
    <row r="2" spans="1:7" x14ac:dyDescent="0.45">
      <c r="B2" s="48" t="s">
        <v>12</v>
      </c>
      <c r="E2" s="48"/>
      <c r="F2" s="48" t="s">
        <v>131</v>
      </c>
    </row>
    <row r="3" spans="1:7" s="2" customFormat="1" x14ac:dyDescent="0.45">
      <c r="A3" s="3"/>
      <c r="B3" s="48" t="s">
        <v>202</v>
      </c>
      <c r="D3" s="48"/>
      <c r="E3" s="48"/>
      <c r="F3" s="48" t="s">
        <v>398</v>
      </c>
      <c r="G3" s="48"/>
    </row>
    <row r="4" spans="1:7" x14ac:dyDescent="0.45">
      <c r="B4" s="48" t="s">
        <v>6</v>
      </c>
      <c r="D4" s="2"/>
      <c r="E4" s="48"/>
      <c r="F4" s="48" t="s">
        <v>132</v>
      </c>
      <c r="G4" s="2"/>
    </row>
    <row r="5" spans="1:7" x14ac:dyDescent="0.45">
      <c r="B5" s="48" t="s">
        <v>7</v>
      </c>
      <c r="E5" s="48"/>
      <c r="F5" s="48" t="s">
        <v>133</v>
      </c>
    </row>
    <row r="6" spans="1:7" x14ac:dyDescent="0.45">
      <c r="B6" s="48" t="s">
        <v>4</v>
      </c>
      <c r="E6" s="48"/>
      <c r="F6" s="48"/>
    </row>
    <row r="7" spans="1:7" s="2" customFormat="1" x14ac:dyDescent="0.45">
      <c r="A7" s="3"/>
      <c r="B7" s="48" t="s">
        <v>203</v>
      </c>
      <c r="D7"/>
      <c r="E7" s="3" t="s">
        <v>134</v>
      </c>
      <c r="F7" s="48"/>
      <c r="G7"/>
    </row>
    <row r="8" spans="1:7" s="2" customFormat="1" x14ac:dyDescent="0.45">
      <c r="A8" s="3"/>
      <c r="B8" s="48" t="s">
        <v>5</v>
      </c>
      <c r="E8" s="48"/>
      <c r="F8" s="42">
        <v>1</v>
      </c>
    </row>
    <row r="9" spans="1:7" x14ac:dyDescent="0.45">
      <c r="B9" s="48" t="s">
        <v>204</v>
      </c>
      <c r="D9" s="2"/>
      <c r="E9" s="48"/>
      <c r="F9" s="42">
        <v>2</v>
      </c>
      <c r="G9" s="2"/>
    </row>
    <row r="10" spans="1:7" s="2" customFormat="1" x14ac:dyDescent="0.45">
      <c r="A10" s="3"/>
      <c r="B10" s="48" t="s">
        <v>46</v>
      </c>
      <c r="D10"/>
      <c r="E10" s="48"/>
      <c r="F10" s="42">
        <v>3</v>
      </c>
      <c r="G10"/>
    </row>
    <row r="11" spans="1:7" s="2" customFormat="1" x14ac:dyDescent="0.45">
      <c r="B11" s="48" t="s">
        <v>205</v>
      </c>
      <c r="C11"/>
      <c r="E11" s="48"/>
      <c r="F11" s="42" t="s">
        <v>135</v>
      </c>
    </row>
    <row r="12" spans="1:7" s="2" customFormat="1" x14ac:dyDescent="0.45">
      <c r="A12" s="3"/>
      <c r="B12" s="48" t="s">
        <v>47</v>
      </c>
      <c r="E12" s="48"/>
      <c r="F12" s="48"/>
    </row>
    <row r="13" spans="1:7" x14ac:dyDescent="0.45">
      <c r="B13" s="48" t="s">
        <v>49</v>
      </c>
      <c r="C13" s="2"/>
      <c r="D13" s="2"/>
      <c r="E13" s="3" t="s">
        <v>136</v>
      </c>
      <c r="F13" s="48"/>
      <c r="G13" s="2"/>
    </row>
    <row r="14" spans="1:7" s="2" customFormat="1" x14ac:dyDescent="0.45">
      <c r="A14" s="3"/>
      <c r="B14" s="48" t="s">
        <v>206</v>
      </c>
      <c r="D14"/>
      <c r="E14" s="3"/>
      <c r="F14" s="48" t="s">
        <v>137</v>
      </c>
      <c r="G14"/>
    </row>
    <row r="15" spans="1:7" x14ac:dyDescent="0.45">
      <c r="B15" s="48" t="s">
        <v>207</v>
      </c>
      <c r="C15" s="2"/>
      <c r="D15" s="2"/>
      <c r="E15" s="48"/>
      <c r="F15" s="48" t="s">
        <v>138</v>
      </c>
      <c r="G15" s="2"/>
    </row>
    <row r="16" spans="1:7" s="2" customFormat="1" x14ac:dyDescent="0.45">
      <c r="A16" s="3"/>
      <c r="B16" s="48"/>
      <c r="D16"/>
      <c r="E16" s="48"/>
      <c r="F16" s="48" t="s">
        <v>139</v>
      </c>
      <c r="G16"/>
    </row>
    <row r="17" spans="1:7" s="2" customFormat="1" x14ac:dyDescent="0.45">
      <c r="A17" s="3" t="s">
        <v>66</v>
      </c>
      <c r="B17" s="29" t="s">
        <v>104</v>
      </c>
      <c r="C17"/>
    </row>
    <row r="18" spans="1:7" s="2" customFormat="1" x14ac:dyDescent="0.45">
      <c r="A18" s="3"/>
      <c r="B18" s="29" t="s">
        <v>105</v>
      </c>
      <c r="E18" s="3" t="s">
        <v>111</v>
      </c>
      <c r="F18"/>
    </row>
    <row r="19" spans="1:7" s="2" customFormat="1" x14ac:dyDescent="0.45">
      <c r="A19" s="3"/>
      <c r="B19" s="29" t="s">
        <v>106</v>
      </c>
      <c r="C19"/>
      <c r="E19" s="3"/>
      <c r="F19">
        <v>1</v>
      </c>
    </row>
    <row r="20" spans="1:7" s="2" customFormat="1" x14ac:dyDescent="0.45">
      <c r="A20" s="3"/>
      <c r="B20" s="29" t="s">
        <v>107</v>
      </c>
      <c r="E20" s="3"/>
      <c r="F20" t="s">
        <v>290</v>
      </c>
    </row>
    <row r="21" spans="1:7" ht="15" customHeight="1" x14ac:dyDescent="0.45">
      <c r="B21" s="29" t="s">
        <v>108</v>
      </c>
      <c r="C21" s="2"/>
      <c r="D21" s="2"/>
      <c r="E21" s="3"/>
      <c r="F21" s="2" t="s">
        <v>291</v>
      </c>
      <c r="G21" s="2"/>
    </row>
    <row r="22" spans="1:7" s="2" customFormat="1" x14ac:dyDescent="0.45">
      <c r="A22" s="3"/>
      <c r="B22" s="29" t="s">
        <v>109</v>
      </c>
      <c r="D22"/>
      <c r="E22"/>
      <c r="F22">
        <v>3</v>
      </c>
      <c r="G22"/>
    </row>
    <row r="23" spans="1:7" x14ac:dyDescent="0.45">
      <c r="B23" s="29" t="s">
        <v>208</v>
      </c>
      <c r="C23" s="2"/>
      <c r="D23" s="2"/>
      <c r="E23" s="3" t="s">
        <v>152</v>
      </c>
      <c r="F23" s="48"/>
      <c r="G23" s="2"/>
    </row>
    <row r="24" spans="1:7" s="2" customFormat="1" x14ac:dyDescent="0.45">
      <c r="A24" s="3"/>
      <c r="B24" s="29" t="s">
        <v>16</v>
      </c>
      <c r="D24"/>
      <c r="E24" s="3"/>
      <c r="F24" s="48" t="s">
        <v>83</v>
      </c>
      <c r="G24"/>
    </row>
    <row r="25" spans="1:7" s="2" customFormat="1" x14ac:dyDescent="0.45">
      <c r="A25" s="3"/>
      <c r="B25" s="29" t="s">
        <v>17</v>
      </c>
      <c r="C25"/>
      <c r="E25" s="3"/>
      <c r="F25" s="48" t="s">
        <v>86</v>
      </c>
    </row>
    <row r="26" spans="1:7" s="2" customFormat="1" x14ac:dyDescent="0.45">
      <c r="A26" s="3"/>
      <c r="B26" s="29" t="s">
        <v>18</v>
      </c>
      <c r="C26"/>
      <c r="E26" s="3"/>
      <c r="F26" s="48" t="s">
        <v>87</v>
      </c>
    </row>
    <row r="27" spans="1:7" s="2" customFormat="1" x14ac:dyDescent="0.45">
      <c r="A27" s="3"/>
      <c r="B27" s="29" t="s">
        <v>19</v>
      </c>
      <c r="C27"/>
      <c r="E27" s="3"/>
      <c r="F27" s="48" t="s">
        <v>88</v>
      </c>
    </row>
    <row r="28" spans="1:7" s="2" customFormat="1" x14ac:dyDescent="0.45">
      <c r="A28" s="3"/>
      <c r="B28" s="29" t="s">
        <v>24</v>
      </c>
      <c r="C28"/>
      <c r="E28" s="3"/>
      <c r="F28" s="48" t="s">
        <v>89</v>
      </c>
    </row>
    <row r="29" spans="1:7" x14ac:dyDescent="0.45">
      <c r="B29" s="29" t="s">
        <v>20</v>
      </c>
      <c r="D29" s="2"/>
      <c r="E29" s="3"/>
      <c r="F29" s="48" t="s">
        <v>90</v>
      </c>
      <c r="G29" s="2"/>
    </row>
    <row r="30" spans="1:7" x14ac:dyDescent="0.45">
      <c r="B30" s="29" t="s">
        <v>21</v>
      </c>
      <c r="E30" s="3"/>
      <c r="F30" s="48" t="s">
        <v>175</v>
      </c>
    </row>
    <row r="31" spans="1:7" x14ac:dyDescent="0.45">
      <c r="B31" s="29" t="s">
        <v>22</v>
      </c>
    </row>
    <row r="32" spans="1:7" x14ac:dyDescent="0.45">
      <c r="B32" s="29" t="s">
        <v>23</v>
      </c>
      <c r="E32" s="3" t="s">
        <v>201</v>
      </c>
    </row>
    <row r="33" spans="2:7" x14ac:dyDescent="0.45">
      <c r="B33" s="29" t="s">
        <v>51</v>
      </c>
      <c r="F33" t="s">
        <v>172</v>
      </c>
    </row>
    <row r="34" spans="2:7" x14ac:dyDescent="0.45">
      <c r="B34" s="29" t="s">
        <v>50</v>
      </c>
      <c r="F34" t="s">
        <v>173</v>
      </c>
    </row>
    <row r="35" spans="2:7" x14ac:dyDescent="0.45">
      <c r="B35" s="29" t="s">
        <v>52</v>
      </c>
      <c r="C35" s="2"/>
      <c r="F35" t="s">
        <v>174</v>
      </c>
    </row>
    <row r="36" spans="2:7" x14ac:dyDescent="0.45">
      <c r="B36" s="29" t="s">
        <v>25</v>
      </c>
      <c r="C36" s="2"/>
    </row>
    <row r="37" spans="2:7" x14ac:dyDescent="0.45">
      <c r="B37" s="29" t="s">
        <v>26</v>
      </c>
      <c r="C37" s="2"/>
      <c r="E37" s="3" t="s">
        <v>226</v>
      </c>
      <c r="F37" s="48"/>
    </row>
    <row r="38" spans="2:7" x14ac:dyDescent="0.45">
      <c r="B38" s="29" t="s">
        <v>27</v>
      </c>
      <c r="E38" s="3"/>
      <c r="F38" s="48" t="s">
        <v>227</v>
      </c>
    </row>
    <row r="39" spans="2:7" s="2" customFormat="1" x14ac:dyDescent="0.45">
      <c r="B39" s="29" t="s">
        <v>53</v>
      </c>
      <c r="C39"/>
      <c r="D39"/>
      <c r="E39" s="3"/>
      <c r="F39" s="48" t="s">
        <v>228</v>
      </c>
      <c r="G39"/>
    </row>
    <row r="40" spans="2:7" s="2" customFormat="1" x14ac:dyDescent="0.45">
      <c r="B40" s="29" t="s">
        <v>30</v>
      </c>
      <c r="C40"/>
      <c r="E40" s="3"/>
      <c r="F40" s="48" t="s">
        <v>229</v>
      </c>
    </row>
    <row r="41" spans="2:7" s="2" customFormat="1" x14ac:dyDescent="0.45">
      <c r="B41" s="29" t="s">
        <v>28</v>
      </c>
      <c r="E41" s="3"/>
      <c r="F41" s="48" t="s">
        <v>230</v>
      </c>
    </row>
    <row r="42" spans="2:7" x14ac:dyDescent="0.45">
      <c r="B42" s="29" t="s">
        <v>54</v>
      </c>
      <c r="D42" s="2"/>
      <c r="E42" s="3"/>
      <c r="F42" s="48" t="s">
        <v>231</v>
      </c>
      <c r="G42" s="2"/>
    </row>
    <row r="43" spans="2:7" x14ac:dyDescent="0.45">
      <c r="B43" s="29" t="s">
        <v>55</v>
      </c>
      <c r="E43" s="3"/>
      <c r="F43" s="48" t="s">
        <v>232</v>
      </c>
    </row>
    <row r="44" spans="2:7" x14ac:dyDescent="0.45">
      <c r="B44" s="29" t="s">
        <v>56</v>
      </c>
      <c r="C44" s="2"/>
      <c r="E44" s="3"/>
      <c r="F44" s="48" t="s">
        <v>233</v>
      </c>
    </row>
    <row r="45" spans="2:7" s="2" customFormat="1" x14ac:dyDescent="0.45">
      <c r="B45" s="29" t="s">
        <v>34</v>
      </c>
      <c r="D45"/>
      <c r="E45" s="3"/>
      <c r="F45" s="48" t="s">
        <v>234</v>
      </c>
      <c r="G45"/>
    </row>
    <row r="46" spans="2:7" x14ac:dyDescent="0.45">
      <c r="B46" s="29" t="s">
        <v>57</v>
      </c>
      <c r="C46" s="2"/>
      <c r="D46" s="2"/>
      <c r="E46" s="2"/>
      <c r="F46" s="2"/>
      <c r="G46" s="2"/>
    </row>
    <row r="47" spans="2:7" x14ac:dyDescent="0.45">
      <c r="B47" s="29" t="s">
        <v>29</v>
      </c>
      <c r="C47" s="2"/>
      <c r="E47" s="3" t="s">
        <v>294</v>
      </c>
    </row>
    <row r="48" spans="2:7" s="2" customFormat="1" x14ac:dyDescent="0.45">
      <c r="B48" s="29" t="s">
        <v>58</v>
      </c>
      <c r="C48"/>
      <c r="D48"/>
      <c r="E48"/>
      <c r="F48" t="s">
        <v>295</v>
      </c>
      <c r="G48"/>
    </row>
    <row r="49" spans="1:7" s="2" customFormat="1" x14ac:dyDescent="0.45">
      <c r="B49" s="29" t="s">
        <v>31</v>
      </c>
      <c r="C49"/>
      <c r="F49" s="2" t="s">
        <v>296</v>
      </c>
    </row>
    <row r="50" spans="1:7" s="2" customFormat="1" x14ac:dyDescent="0.45">
      <c r="B50" s="29" t="s">
        <v>32</v>
      </c>
      <c r="F50" s="2" t="s">
        <v>297</v>
      </c>
    </row>
    <row r="51" spans="1:7" s="2" customFormat="1" x14ac:dyDescent="0.45">
      <c r="B51" s="29" t="s">
        <v>33</v>
      </c>
      <c r="C51"/>
    </row>
    <row r="52" spans="1:7" x14ac:dyDescent="0.45">
      <c r="B52" s="29" t="s">
        <v>35</v>
      </c>
      <c r="D52" s="2"/>
      <c r="E52" s="2"/>
      <c r="F52" s="2"/>
      <c r="G52" s="2"/>
    </row>
    <row r="54" spans="1:7" s="2" customFormat="1" x14ac:dyDescent="0.45">
      <c r="A54" s="3" t="s">
        <v>67</v>
      </c>
      <c r="C54"/>
      <c r="D54"/>
      <c r="E54"/>
      <c r="F54"/>
      <c r="G54"/>
    </row>
    <row r="55" spans="1:7" x14ac:dyDescent="0.45">
      <c r="B55" s="29" t="s">
        <v>43</v>
      </c>
      <c r="C55" s="2"/>
      <c r="D55" s="2"/>
      <c r="E55" s="2"/>
      <c r="F55" s="2"/>
      <c r="G55" s="2"/>
    </row>
    <row r="56" spans="1:7" x14ac:dyDescent="0.45">
      <c r="B56" s="29" t="s">
        <v>44</v>
      </c>
    </row>
    <row r="58" spans="1:7" x14ac:dyDescent="0.45">
      <c r="A58" s="3" t="s">
        <v>74</v>
      </c>
    </row>
    <row r="59" spans="1:7" s="2" customFormat="1" x14ac:dyDescent="0.45">
      <c r="A59" s="3"/>
      <c r="B59" s="19" t="s">
        <v>75</v>
      </c>
      <c r="C59"/>
      <c r="D59"/>
      <c r="E59"/>
      <c r="F59"/>
      <c r="G59"/>
    </row>
    <row r="60" spans="1:7" x14ac:dyDescent="0.45">
      <c r="B60" s="19" t="s">
        <v>76</v>
      </c>
      <c r="D60" s="2"/>
      <c r="E60" s="2"/>
      <c r="F60" s="2"/>
      <c r="G60" s="2"/>
    </row>
    <row r="61" spans="1:7" x14ac:dyDescent="0.45">
      <c r="B61" t="s">
        <v>77</v>
      </c>
    </row>
    <row r="62" spans="1:7" x14ac:dyDescent="0.45">
      <c r="A62" s="61"/>
      <c r="B62" s="1"/>
    </row>
    <row r="63" spans="1:7" x14ac:dyDescent="0.45">
      <c r="A63" s="61" t="s">
        <v>146</v>
      </c>
      <c r="B63" s="1"/>
    </row>
    <row r="64" spans="1:7" x14ac:dyDescent="0.45">
      <c r="A64" s="61"/>
      <c r="B64" s="1" t="s">
        <v>209</v>
      </c>
    </row>
    <row r="65" spans="1:2" x14ac:dyDescent="0.45">
      <c r="A65" s="61"/>
      <c r="B65" s="1" t="s">
        <v>210</v>
      </c>
    </row>
    <row r="66" spans="1:2" x14ac:dyDescent="0.45">
      <c r="A66" s="61"/>
      <c r="B66" s="1" t="s">
        <v>211</v>
      </c>
    </row>
    <row r="67" spans="1:2" x14ac:dyDescent="0.45">
      <c r="A67" s="61"/>
      <c r="B67" s="48" t="s">
        <v>375</v>
      </c>
    </row>
    <row r="68" spans="1:2" x14ac:dyDescent="0.45">
      <c r="A68" s="61"/>
      <c r="B68" s="1"/>
    </row>
    <row r="70" spans="1:2" x14ac:dyDescent="0.45">
      <c r="A70" s="3" t="s">
        <v>149</v>
      </c>
    </row>
    <row r="71" spans="1:2" x14ac:dyDescent="0.45">
      <c r="B71" s="48" t="s">
        <v>150</v>
      </c>
    </row>
    <row r="72" spans="1:2" x14ac:dyDescent="0.45">
      <c r="B72" s="48" t="s">
        <v>151</v>
      </c>
    </row>
    <row r="73" spans="1:2" x14ac:dyDescent="0.45">
      <c r="B73" s="3"/>
    </row>
    <row r="74" spans="1:2" x14ac:dyDescent="0.45">
      <c r="A74" s="3" t="s">
        <v>147</v>
      </c>
      <c r="B74" s="48"/>
    </row>
    <row r="75" spans="1:2" x14ac:dyDescent="0.45">
      <c r="B75" s="48" t="s">
        <v>126</v>
      </c>
    </row>
    <row r="76" spans="1:2" x14ac:dyDescent="0.45">
      <c r="B76" s="48" t="s">
        <v>212</v>
      </c>
    </row>
    <row r="78" spans="1:2" x14ac:dyDescent="0.45">
      <c r="A78" s="3" t="s">
        <v>213</v>
      </c>
      <c r="B78" s="48"/>
    </row>
    <row r="79" spans="1:2" x14ac:dyDescent="0.45">
      <c r="B79" s="48" t="s">
        <v>214</v>
      </c>
    </row>
    <row r="80" spans="1:2" x14ac:dyDescent="0.45">
      <c r="B80" s="48" t="s">
        <v>215</v>
      </c>
    </row>
    <row r="81" spans="1:7" x14ac:dyDescent="0.45">
      <c r="B81" s="48"/>
    </row>
    <row r="82" spans="1:7" x14ac:dyDescent="0.45">
      <c r="A82" s="3" t="s">
        <v>216</v>
      </c>
      <c r="B82" s="48"/>
    </row>
    <row r="83" spans="1:7" x14ac:dyDescent="0.45">
      <c r="B83" s="48" t="s">
        <v>217</v>
      </c>
    </row>
    <row r="84" spans="1:7" x14ac:dyDescent="0.45">
      <c r="B84" s="48" t="s">
        <v>218</v>
      </c>
    </row>
    <row r="85" spans="1:7" x14ac:dyDescent="0.45">
      <c r="B85" s="48" t="s">
        <v>219</v>
      </c>
    </row>
    <row r="86" spans="1:7" x14ac:dyDescent="0.45">
      <c r="B86" s="48" t="s">
        <v>220</v>
      </c>
    </row>
    <row r="87" spans="1:7" x14ac:dyDescent="0.45">
      <c r="B87" s="48"/>
    </row>
    <row r="88" spans="1:7" x14ac:dyDescent="0.45">
      <c r="A88" s="3" t="s">
        <v>221</v>
      </c>
      <c r="B88" s="48"/>
    </row>
    <row r="89" spans="1:7" x14ac:dyDescent="0.45">
      <c r="B89" s="48" t="s">
        <v>222</v>
      </c>
    </row>
    <row r="90" spans="1:7" x14ac:dyDescent="0.45">
      <c r="B90" s="48" t="s">
        <v>223</v>
      </c>
    </row>
    <row r="91" spans="1:7" x14ac:dyDescent="0.45">
      <c r="B91" s="48" t="s">
        <v>224</v>
      </c>
    </row>
    <row r="92" spans="1:7" x14ac:dyDescent="0.45">
      <c r="B92" s="48" t="s">
        <v>225</v>
      </c>
    </row>
    <row r="93" spans="1:7" x14ac:dyDescent="0.45">
      <c r="B93" s="48"/>
    </row>
    <row r="94" spans="1:7" x14ac:dyDescent="0.45">
      <c r="A94" s="3" t="s">
        <v>356</v>
      </c>
      <c r="B94" s="48"/>
    </row>
    <row r="95" spans="1:7" x14ac:dyDescent="0.45">
      <c r="B95" s="48" t="s">
        <v>357</v>
      </c>
    </row>
    <row r="96" spans="1:7" s="48" customFormat="1" x14ac:dyDescent="0.45">
      <c r="A96" s="3"/>
      <c r="B96" s="48" t="s">
        <v>358</v>
      </c>
      <c r="D96"/>
      <c r="E96"/>
      <c r="F96"/>
      <c r="G96"/>
    </row>
    <row r="97" spans="1:7" s="48" customFormat="1" x14ac:dyDescent="0.45">
      <c r="A97" s="3"/>
      <c r="B97" s="48" t="s">
        <v>359</v>
      </c>
    </row>
    <row r="98" spans="1:7" x14ac:dyDescent="0.45">
      <c r="B98" s="48" t="s">
        <v>364</v>
      </c>
      <c r="D98" s="48"/>
      <c r="E98" s="48"/>
      <c r="F98" s="48"/>
      <c r="G98" s="48"/>
    </row>
  </sheetData>
  <sheetProtection algorithmName="SHA-512" hashValue="hy77Qju5qEtDD+z3d2hO6hXz6+xvrfG6rugdaPS1QozjqeW6QbRUsNRaOaRBguEd4Irxqvv1RZ2hfkW2HkBJ0w==" saltValue="sWgB8kQ1mSPUBDmReik6Zw==" spinCount="100000" sheet="1" objects="1" scenarios="1"/>
  <conditionalFormatting sqref="A63">
    <cfRule type="beginsWith" dxfId="5" priority="7" stopIfTrue="1" operator="beginsWith" text="Functioning At Risk">
      <formula>LEFT(A63,LEN("Functioning At Risk"))="Functioning At Risk"</formula>
    </cfRule>
    <cfRule type="beginsWith" dxfId="4" priority="8" stopIfTrue="1" operator="beginsWith" text="Not Functioning">
      <formula>LEFT(A63,LEN("Not Functioning"))="Not Functioning"</formula>
    </cfRule>
    <cfRule type="containsText" dxfId="3" priority="9" operator="containsText" text="Functioning">
      <formula>NOT(ISERROR(SEARCH("Functioning",A63)))</formula>
    </cfRule>
  </conditionalFormatting>
  <conditionalFormatting sqref="A70">
    <cfRule type="beginsWith" dxfId="2" priority="1" stopIfTrue="1" operator="beginsWith" text="Functioning At Risk">
      <formula>LEFT(A70,LEN("Functioning At Risk"))="Functioning At Risk"</formula>
    </cfRule>
    <cfRule type="beginsWith" dxfId="1" priority="2" stopIfTrue="1" operator="beginsWith" text="Not Functioning">
      <formula>LEFT(A70,LEN("Not Functioning"))="Not Functioning"</formula>
    </cfRule>
    <cfRule type="containsText" dxfId="0" priority="3" operator="containsText" text="Functioning">
      <formula>NOT(ISERROR(SEARCH("Functioning",A70)))</formula>
    </cfRule>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9</vt:i4>
      </vt:variant>
    </vt:vector>
  </HeadingPairs>
  <TitlesOfParts>
    <vt:vector size="15" baseType="lpstr">
      <vt:lpstr>Project Summary</vt:lpstr>
      <vt:lpstr>Functional Loss</vt:lpstr>
      <vt:lpstr>Parameter and Metric Selection</vt:lpstr>
      <vt:lpstr>Existing Conditions</vt:lpstr>
      <vt:lpstr>Reference Curves</vt:lpstr>
      <vt:lpstr>Pull Down Notes</vt:lpstr>
      <vt:lpstr>BEHI.NBS</vt:lpstr>
      <vt:lpstr>'Functional Loss'!Print_Area</vt:lpstr>
      <vt:lpstr>'Parameter and Metric Selection'!Print_Area</vt:lpstr>
      <vt:lpstr>'Project Summary'!Print_Area</vt:lpstr>
      <vt:lpstr>'Reference Curves'!Print_Area</vt:lpstr>
      <vt:lpstr>'Parameter and Metric Selection'!Print_Titles</vt:lpstr>
      <vt:lpstr>'Reference Curves'!Print_Titles</vt:lpstr>
      <vt:lpstr>StreamType</vt:lpstr>
      <vt:lpstr>Yes.No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Paxton Ramsdell</cp:lastModifiedBy>
  <cp:lastPrinted>2022-10-28T19:58:42Z</cp:lastPrinted>
  <dcterms:created xsi:type="dcterms:W3CDTF">2014-08-22T20:36:47Z</dcterms:created>
  <dcterms:modified xsi:type="dcterms:W3CDTF">2022-12-16T13:20:53Z</dcterms:modified>
</cp:coreProperties>
</file>