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style1.xml" ContentType="application/vnd.ms-office.chartstyle+xml"/>
  <Override PartName="/xl/charts/colors1.xml" ContentType="application/vnd.ms-office.chartcolorstyle+xml"/>
  <Override PartName="/xl/charts/chart3.xml" ContentType="application/vnd.openxmlformats-officedocument.drawingml.chart+xml"/>
  <Override PartName="/xl/charts/style2.xml" ContentType="application/vnd.ms-office.chartstyle+xml"/>
  <Override PartName="/xl/charts/colors2.xml" ContentType="application/vnd.ms-office.chartcolorstyle+xml"/>
  <Override PartName="/xl/charts/chart4.xml" ContentType="application/vnd.openxmlformats-officedocument.drawingml.chart+xml"/>
  <Override PartName="/xl/charts/style3.xml" ContentType="application/vnd.ms-office.chartstyle+xml"/>
  <Override PartName="/xl/charts/colors3.xml" ContentType="application/vnd.ms-office.chartcolorstyle+xml"/>
  <Override PartName="/xl/charts/chart5.xml" ContentType="application/vnd.openxmlformats-officedocument.drawingml.chart+xml"/>
  <Override PartName="/xl/charts/style4.xml" ContentType="application/vnd.ms-office.chartstyle+xml"/>
  <Override PartName="/xl/charts/colors4.xml" ContentType="application/vnd.ms-office.chartcolorstyle+xml"/>
  <Override PartName="/xl/charts/chart6.xml" ContentType="application/vnd.openxmlformats-officedocument.drawingml.chart+xml"/>
  <Override PartName="/xl/charts/style5.xml" ContentType="application/vnd.ms-office.chartstyle+xml"/>
  <Override PartName="/xl/charts/colors5.xml" ContentType="application/vnd.ms-office.chartcolorstyle+xml"/>
  <Override PartName="/xl/charts/chart7.xml" ContentType="application/vnd.openxmlformats-officedocument.drawingml.chart+xml"/>
  <Override PartName="/xl/charts/style6.xml" ContentType="application/vnd.ms-office.chartstyle+xml"/>
  <Override PartName="/xl/charts/colors6.xml" ContentType="application/vnd.ms-office.chartcolorstyle+xml"/>
  <Override PartName="/xl/charts/chart8.xml" ContentType="application/vnd.openxmlformats-officedocument.drawingml.chart+xml"/>
  <Override PartName="/xl/charts/style7.xml" ContentType="application/vnd.ms-office.chartstyle+xml"/>
  <Override PartName="/xl/charts/colors7.xml" ContentType="application/vnd.ms-office.chartcolorstyle+xml"/>
  <Override PartName="/xl/charts/chart9.xml" ContentType="application/vnd.openxmlformats-officedocument.drawingml.chart+xml"/>
  <Override PartName="/xl/charts/style8.xml" ContentType="application/vnd.ms-office.chartstyle+xml"/>
  <Override PartName="/xl/charts/colors8.xml" ContentType="application/vnd.ms-office.chartcolorstyle+xml"/>
  <Override PartName="/xl/charts/chart10.xml" ContentType="application/vnd.openxmlformats-officedocument.drawingml.chart+xml"/>
  <Override PartName="/xl/charts/style9.xml" ContentType="application/vnd.ms-office.chartstyle+xml"/>
  <Override PartName="/xl/charts/colors9.xml" ContentType="application/vnd.ms-office.chartcolorstyle+xml"/>
  <Override PartName="/xl/charts/chart11.xml" ContentType="application/vnd.openxmlformats-officedocument.drawingml.chart+xml"/>
  <Override PartName="/xl/charts/style10.xml" ContentType="application/vnd.ms-office.chartstyle+xml"/>
  <Override PartName="/xl/charts/colors10.xml" ContentType="application/vnd.ms-office.chartcolorstyle+xml"/>
  <Override PartName="/xl/charts/chart12.xml" ContentType="application/vnd.openxmlformats-officedocument.drawingml.chart+xml"/>
  <Override PartName="/xl/charts/style11.xml" ContentType="application/vnd.ms-office.chartstyle+xml"/>
  <Override PartName="/xl/charts/colors11.xml" ContentType="application/vnd.ms-office.chartcolorstyle+xml"/>
  <Override PartName="/xl/charts/chart13.xml" ContentType="application/vnd.openxmlformats-officedocument.drawingml.chart+xml"/>
  <Override PartName="/xl/charts/style12.xml" ContentType="application/vnd.ms-office.chartstyle+xml"/>
  <Override PartName="/xl/charts/colors12.xml" ContentType="application/vnd.ms-office.chartcolorstyle+xml"/>
  <Override PartName="/xl/charts/chart14.xml" ContentType="application/vnd.openxmlformats-officedocument.drawingml.chart+xml"/>
  <Override PartName="/xl/charts/style13.xml" ContentType="application/vnd.ms-office.chartstyle+xml"/>
  <Override PartName="/xl/charts/colors13.xml" ContentType="application/vnd.ms-office.chartcolorstyle+xml"/>
  <Override PartName="/xl/charts/chart15.xml" ContentType="application/vnd.openxmlformats-officedocument.drawingml.chart+xml"/>
  <Override PartName="/xl/charts/style14.xml" ContentType="application/vnd.ms-office.chartstyle+xml"/>
  <Override PartName="/xl/charts/colors14.xml" ContentType="application/vnd.ms-office.chartcolorstyle+xml"/>
  <Override PartName="/xl/charts/chart16.xml" ContentType="application/vnd.openxmlformats-officedocument.drawingml.chart+xml"/>
  <Override PartName="/xl/charts/style15.xml" ContentType="application/vnd.ms-office.chartstyle+xml"/>
  <Override PartName="/xl/charts/colors15.xml" ContentType="application/vnd.ms-office.chartcolorstyle+xml"/>
  <Override PartName="/xl/charts/chart17.xml" ContentType="application/vnd.openxmlformats-officedocument.drawingml.chart+xml"/>
  <Override PartName="/xl/charts/style16.xml" ContentType="application/vnd.ms-office.chartstyle+xml"/>
  <Override PartName="/xl/charts/colors16.xml" ContentType="application/vnd.ms-office.chartcolorstyle+xml"/>
  <Override PartName="/xl/charts/chart18.xml" ContentType="application/vnd.openxmlformats-officedocument.drawingml.chart+xml"/>
  <Override PartName="/xl/charts/style17.xml" ContentType="application/vnd.ms-office.chartstyle+xml"/>
  <Override PartName="/xl/charts/colors17.xml" ContentType="application/vnd.ms-office.chartcolorstyle+xml"/>
  <Override PartName="/xl/charts/chart19.xml" ContentType="application/vnd.openxmlformats-officedocument.drawingml.chart+xml"/>
  <Override PartName="/xl/charts/style18.xml" ContentType="application/vnd.ms-office.chartstyle+xml"/>
  <Override PartName="/xl/charts/colors18.xml" ContentType="application/vnd.ms-office.chartcolorstyle+xml"/>
  <Override PartName="/xl/charts/chart20.xml" ContentType="application/vnd.openxmlformats-officedocument.drawingml.chart+xml"/>
  <Override PartName="/xl/charts/style19.xml" ContentType="application/vnd.ms-office.chartstyle+xml"/>
  <Override PartName="/xl/charts/colors19.xml" ContentType="application/vnd.ms-office.chartcolorstyle+xml"/>
  <Override PartName="/xl/charts/chart21.xml" ContentType="application/vnd.openxmlformats-officedocument.drawingml.chart+xml"/>
  <Override PartName="/xl/charts/style20.xml" ContentType="application/vnd.ms-office.chartstyle+xml"/>
  <Override PartName="/xl/charts/colors20.xml" ContentType="application/vnd.ms-office.chartcolorstyle+xml"/>
  <Override PartName="/xl/charts/chart22.xml" ContentType="application/vnd.openxmlformats-officedocument.drawingml.chart+xml"/>
  <Override PartName="/xl/charts/style21.xml" ContentType="application/vnd.ms-office.chartstyle+xml"/>
  <Override PartName="/xl/charts/colors21.xml" ContentType="application/vnd.ms-office.chartcolorstyle+xml"/>
  <Override PartName="/xl/charts/chart23.xml" ContentType="application/vnd.openxmlformats-officedocument.drawingml.chart+xml"/>
  <Override PartName="/xl/charts/style22.xml" ContentType="application/vnd.ms-office.chartstyle+xml"/>
  <Override PartName="/xl/charts/colors22.xml" ContentType="application/vnd.ms-office.chartcolorstyle+xml"/>
  <Override PartName="/xl/charts/chart24.xml" ContentType="application/vnd.openxmlformats-officedocument.drawingml.chart+xml"/>
  <Override PartName="/xl/charts/style23.xml" ContentType="application/vnd.ms-office.chartstyle+xml"/>
  <Override PartName="/xl/charts/colors23.xml" ContentType="application/vnd.ms-office.chartcolorstyle+xml"/>
  <Override PartName="/xl/charts/chart25.xml" ContentType="application/vnd.openxmlformats-officedocument.drawingml.chart+xml"/>
  <Override PartName="/xl/charts/style24.xml" ContentType="application/vnd.ms-office.chartstyle+xml"/>
  <Override PartName="/xl/charts/colors24.xml" ContentType="application/vnd.ms-office.chartcolorstyle+xml"/>
  <Override PartName="/xl/charts/chart26.xml" ContentType="application/vnd.openxmlformats-officedocument.drawingml.chart+xml"/>
  <Override PartName="/xl/charts/style25.xml" ContentType="application/vnd.ms-office.chartstyle+xml"/>
  <Override PartName="/xl/charts/colors25.xml" ContentType="application/vnd.ms-office.chartcolorstyle+xml"/>
  <Override PartName="/xl/charts/chart27.xml" ContentType="application/vnd.openxmlformats-officedocument.drawingml.chart+xml"/>
  <Override PartName="/xl/charts/style26.xml" ContentType="application/vnd.ms-office.chartstyle+xml"/>
  <Override PartName="/xl/charts/colors26.xml" ContentType="application/vnd.ms-office.chartcolorstyle+xml"/>
  <Override PartName="/xl/charts/chart28.xml" ContentType="application/vnd.openxmlformats-officedocument.drawingml.chart+xml"/>
  <Override PartName="/xl/charts/style27.xml" ContentType="application/vnd.ms-office.chartstyle+xml"/>
  <Override PartName="/xl/charts/colors27.xml" ContentType="application/vnd.ms-office.chartcolorstyle+xml"/>
  <Override PartName="/xl/charts/chart29.xml" ContentType="application/vnd.openxmlformats-officedocument.drawingml.chart+xml"/>
  <Override PartName="/xl/charts/style28.xml" ContentType="application/vnd.ms-office.chartstyle+xml"/>
  <Override PartName="/xl/charts/colors28.xml" ContentType="application/vnd.ms-office.chartcolorstyle+xml"/>
  <Override PartName="/xl/charts/chart30.xml" ContentType="application/vnd.openxmlformats-officedocument.drawingml.chart+xml"/>
  <Override PartName="/xl/charts/style29.xml" ContentType="application/vnd.ms-office.chartstyle+xml"/>
  <Override PartName="/xl/charts/colors29.xml" ContentType="application/vnd.ms-office.chartcolorstyle+xml"/>
  <Override PartName="/xl/charts/chart31.xml" ContentType="application/vnd.openxmlformats-officedocument.drawingml.chart+xml"/>
  <Override PartName="/xl/charts/style30.xml" ContentType="application/vnd.ms-office.chartstyle+xml"/>
  <Override PartName="/xl/charts/colors30.xml" ContentType="application/vnd.ms-office.chartcolorstyle+xml"/>
  <Override PartName="/xl/charts/chart32.xml" ContentType="application/vnd.openxmlformats-officedocument.drawingml.chart+xml"/>
  <Override PartName="/xl/charts/style31.xml" ContentType="application/vnd.ms-office.chartstyle+xml"/>
  <Override PartName="/xl/charts/colors31.xml" ContentType="application/vnd.ms-office.chartcolorstyle+xml"/>
  <Override PartName="/xl/charts/chart33.xml" ContentType="application/vnd.openxmlformats-officedocument.drawingml.chart+xml"/>
  <Override PartName="/xl/charts/style32.xml" ContentType="application/vnd.ms-office.chartstyle+xml"/>
  <Override PartName="/xl/charts/colors32.xml" ContentType="application/vnd.ms-office.chartcolorstyle+xml"/>
  <Override PartName="/xl/charts/chart34.xml" ContentType="application/vnd.openxmlformats-officedocument.drawingml.chart+xml"/>
  <Override PartName="/xl/charts/style33.xml" ContentType="application/vnd.ms-office.chartstyle+xml"/>
  <Override PartName="/xl/charts/colors33.xml" ContentType="application/vnd.ms-office.chartcolorstyle+xml"/>
  <Override PartName="/xl/charts/chart35.xml" ContentType="application/vnd.openxmlformats-officedocument.drawingml.chart+xml"/>
  <Override PartName="/xl/charts/style34.xml" ContentType="application/vnd.ms-office.chartstyle+xml"/>
  <Override PartName="/xl/charts/colors34.xml" ContentType="application/vnd.ms-office.chartcolorstyle+xml"/>
  <Override PartName="/xl/charts/chart36.xml" ContentType="application/vnd.openxmlformats-officedocument.drawingml.chart+xml"/>
  <Override PartName="/xl/charts/style35.xml" ContentType="application/vnd.ms-office.chartstyle+xml"/>
  <Override PartName="/xl/charts/colors35.xml" ContentType="application/vnd.ms-office.chartcolorstyle+xml"/>
  <Override PartName="/xl/charts/chart37.xml" ContentType="application/vnd.openxmlformats-officedocument.drawingml.chart+xml"/>
  <Override PartName="/xl/charts/style36.xml" ContentType="application/vnd.ms-office.chartstyle+xml"/>
  <Override PartName="/xl/charts/colors36.xml" ContentType="application/vnd.ms-office.chartcolorstyle+xml"/>
  <Override PartName="/xl/charts/chart38.xml" ContentType="application/vnd.openxmlformats-officedocument.drawingml.chart+xml"/>
  <Override PartName="/xl/charts/style37.xml" ContentType="application/vnd.ms-office.chartstyle+xml"/>
  <Override PartName="/xl/charts/colors37.xml" ContentType="application/vnd.ms-office.chartcolorstyle+xml"/>
  <Override PartName="/xl/charts/chart39.xml" ContentType="application/vnd.openxmlformats-officedocument.drawingml.chart+xml"/>
  <Override PartName="/xl/charts/style38.xml" ContentType="application/vnd.ms-office.chartstyle+xml"/>
  <Override PartName="/xl/charts/colors38.xml" ContentType="application/vnd.ms-office.chartcolorstyle+xml"/>
  <Override PartName="/xl/charts/chart40.xml" ContentType="application/vnd.openxmlformats-officedocument.drawingml.chart+xml"/>
  <Override PartName="/xl/charts/chart41.xml" ContentType="application/vnd.openxmlformats-officedocument.drawingml.chart+xml"/>
  <Override PartName="/xl/charts/chart42.xml" ContentType="application/vnd.openxmlformats-officedocument.drawingml.chart+xml"/>
  <Override PartName="/xl/charts/style39.xml" ContentType="application/vnd.ms-office.chartstyle+xml"/>
  <Override PartName="/xl/charts/colors39.xml" ContentType="application/vnd.ms-office.chartcolorstyle+xml"/>
  <Override PartName="/xl/charts/chart43.xml" ContentType="application/vnd.openxmlformats-officedocument.drawingml.chart+xml"/>
  <Override PartName="/xl/charts/style40.xml" ContentType="application/vnd.ms-office.chartstyle+xml"/>
  <Override PartName="/xl/charts/colors40.xml" ContentType="application/vnd.ms-office.chartcolorstyle+xml"/>
  <Override PartName="/xl/charts/chart44.xml" ContentType="application/vnd.openxmlformats-officedocument.drawingml.chart+xml"/>
  <Override PartName="/xl/charts/style41.xml" ContentType="application/vnd.ms-office.chartstyle+xml"/>
  <Override PartName="/xl/charts/colors41.xml" ContentType="application/vnd.ms-office.chartcolorstyle+xml"/>
  <Override PartName="/xl/charts/chart45.xml" ContentType="application/vnd.openxmlformats-officedocument.drawingml.chart+xml"/>
  <Override PartName="/xl/charts/style42.xml" ContentType="application/vnd.ms-office.chartstyle+xml"/>
  <Override PartName="/xl/charts/colors42.xml" ContentType="application/vnd.ms-office.chartcolorstyle+xml"/>
  <Override PartName="/xl/drawings/drawing3.xml" ContentType="application/vnd.openxmlformats-officedocument.drawingml.chartshapes+xml"/>
  <Override PartName="/xl/charts/chart46.xml" ContentType="application/vnd.openxmlformats-officedocument.drawingml.chart+xml"/>
  <Override PartName="/xl/charts/style43.xml" ContentType="application/vnd.ms-office.chartstyle+xml"/>
  <Override PartName="/xl/charts/colors43.xml" ContentType="application/vnd.ms-office.chartcolorstyle+xml"/>
  <Override PartName="/xl/charts/chart47.xml" ContentType="application/vnd.openxmlformats-officedocument.drawingml.chart+xml"/>
  <Override PartName="/xl/charts/style44.xml" ContentType="application/vnd.ms-office.chartstyle+xml"/>
  <Override PartName="/xl/charts/colors44.xml" ContentType="application/vnd.ms-office.chartcolorstyle+xml"/>
  <Override PartName="/xl/drawings/drawing4.xml" ContentType="application/vnd.openxmlformats-officedocument.drawingml.chartshapes+xml"/>
  <Override PartName="/xl/charts/chart48.xml" ContentType="application/vnd.openxmlformats-officedocument.drawingml.chart+xml"/>
  <Override PartName="/xl/charts/style45.xml" ContentType="application/vnd.ms-office.chartstyle+xml"/>
  <Override PartName="/xl/charts/colors45.xml" ContentType="application/vnd.ms-office.chartcolorstyle+xml"/>
  <Override PartName="/xl/charts/chart49.xml" ContentType="application/vnd.openxmlformats-officedocument.drawingml.chart+xml"/>
  <Override PartName="/xl/charts/style46.xml" ContentType="application/vnd.ms-office.chartstyle+xml"/>
  <Override PartName="/xl/charts/colors46.xml" ContentType="application/vnd.ms-office.chartcolorstyle+xml"/>
  <Override PartName="/xl/charts/chart50.xml" ContentType="application/vnd.openxmlformats-officedocument.drawingml.chart+xml"/>
  <Override PartName="/xl/charts/style47.xml" ContentType="application/vnd.ms-office.chartstyle+xml"/>
  <Override PartName="/xl/charts/colors47.xml" ContentType="application/vnd.ms-office.chartcolorstyle+xml"/>
  <Override PartName="/xl/charts/chart51.xml" ContentType="application/vnd.openxmlformats-officedocument.drawingml.chart+xml"/>
  <Override PartName="/xl/charts/style48.xml" ContentType="application/vnd.ms-office.chartstyle+xml"/>
  <Override PartName="/xl/charts/colors48.xml" ContentType="application/vnd.ms-office.chartcolorstyle+xml"/>
  <Override PartName="/xl/charts/chart52.xml" ContentType="application/vnd.openxmlformats-officedocument.drawingml.chart+xml"/>
  <Override PartName="/xl/charts/style49.xml" ContentType="application/vnd.ms-office.chartstyle+xml"/>
  <Override PartName="/xl/charts/colors49.xml" ContentType="application/vnd.ms-office.chartcolorstyle+xml"/>
  <Override PartName="/xl/charts/chart53.xml" ContentType="application/vnd.openxmlformats-officedocument.drawingml.chart+xml"/>
  <Override PartName="/xl/charts/style50.xml" ContentType="application/vnd.ms-office.chartstyle+xml"/>
  <Override PartName="/xl/charts/colors50.xml" ContentType="application/vnd.ms-office.chartcolorstyle+xml"/>
  <Override PartName="/xl/charts/chart54.xml" ContentType="application/vnd.openxmlformats-officedocument.drawingml.chart+xml"/>
  <Override PartName="/xl/charts/style51.xml" ContentType="application/vnd.ms-office.chartstyle+xml"/>
  <Override PartName="/xl/charts/colors51.xml" ContentType="application/vnd.ms-office.chartcolorstyle+xml"/>
  <Override PartName="/xl/charts/chart55.xml" ContentType="application/vnd.openxmlformats-officedocument.drawingml.chart+xml"/>
  <Override PartName="/xl/charts/style52.xml" ContentType="application/vnd.ms-office.chartstyle+xml"/>
  <Override PartName="/xl/charts/colors52.xml" ContentType="application/vnd.ms-office.chartcolorstyle+xml"/>
  <Override PartName="/xl/charts/chart56.xml" ContentType="application/vnd.openxmlformats-officedocument.drawingml.chart+xml"/>
  <Override PartName="/xl/charts/style53.xml" ContentType="application/vnd.ms-office.chartstyle+xml"/>
  <Override PartName="/xl/charts/colors53.xml" ContentType="application/vnd.ms-office.chartcolorstyle+xml"/>
  <Override PartName="/xl/charts/chart57.xml" ContentType="application/vnd.openxmlformats-officedocument.drawingml.chart+xml"/>
  <Override PartName="/xl/charts/style54.xml" ContentType="application/vnd.ms-office.chartstyle+xml"/>
  <Override PartName="/xl/charts/colors54.xml" ContentType="application/vnd.ms-office.chartcolorstyle+xml"/>
  <Override PartName="/xl/charts/chart58.xml" ContentType="application/vnd.openxmlformats-officedocument.drawingml.chart+xml"/>
  <Override PartName="/xl/charts/style55.xml" ContentType="application/vnd.ms-office.chartstyle+xml"/>
  <Override PartName="/xl/charts/colors55.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codeName="ThisWorkbook"/>
  <mc:AlternateContent xmlns:mc="http://schemas.openxmlformats.org/markup-compatibility/2006">
    <mc:Choice Requires="x15">
      <x15ac:absPath xmlns:x15ac="http://schemas.microsoft.com/office/spreadsheetml/2010/11/ac" url="Y:\Shared\EPR Folder\SC\Deliverables\20221215 SC SQT v1.1\"/>
    </mc:Choice>
  </mc:AlternateContent>
  <xr:revisionPtr revIDLastSave="0" documentId="13_ncr:1_{4719D914-7312-4DC1-9460-3385943E573F}" xr6:coauthVersionLast="47" xr6:coauthVersionMax="47" xr10:uidLastSave="{00000000-0000-0000-0000-000000000000}"/>
  <bookViews>
    <workbookView xWindow="-28920" yWindow="-120" windowWidth="29040" windowHeight="15840" tabRatio="707" xr2:uid="{89BBC262-E2C1-41FD-B393-F30A14D823CE}"/>
  </bookViews>
  <sheets>
    <sheet name="Project Summary" sheetId="10" r:id="rId1"/>
    <sheet name="Catchment Assessment" sheetId="11" r:id="rId2"/>
    <sheet name="Parameter and Metric Selection" sheetId="12" r:id="rId3"/>
    <sheet name="Quantification_Tool" sheetId="32" r:id="rId4"/>
    <sheet name="Pull Down Notes" sheetId="3" state="hidden" r:id="rId5"/>
    <sheet name="Reference Curves" sheetId="1" r:id="rId6"/>
  </sheets>
  <definedNames>
    <definedName name="BedMaterial">'Pull Down Notes'!$B$18:$B$24</definedName>
    <definedName name="BEHI.NBS">'Pull Down Notes'!$B$31:$B$67</definedName>
    <definedName name="BufferLandUse">'Pull Down Notes'!$B$129:$B$133</definedName>
    <definedName name="CanopyCover">'Pull Down Notes'!$B$119:$B$121</definedName>
    <definedName name="CatchmentAssessment">'Pull Down Notes'!$B$103:$B$106</definedName>
    <definedName name="Ecoregion">'Pull Down Notes'!$B$73:$B$77</definedName>
    <definedName name="FlowType">'Pull Down Notes'!$B$26:$B$29</definedName>
    <definedName name="NCMacroSamplingMethod">'Pull Down Notes'!$B$135:$B$139</definedName>
    <definedName name="_xlnm.Print_Area" localSheetId="1">'Catchment Assessment'!$A$1:$F$18</definedName>
    <definedName name="_xlnm.Print_Area" localSheetId="0">'Project Summary'!$A$1:$T$29</definedName>
    <definedName name="_xlnm.Print_Area" localSheetId="3">Quantification_Tool!$A$1:$O$141</definedName>
    <definedName name="_xlnm.Print_Titles" localSheetId="2">'Parameter and Metric Selection'!$7:$7</definedName>
    <definedName name="ProgramGoals">'Pull Down Notes'!$B$82:$B$87</definedName>
    <definedName name="ProposedBedMaterial">'Pull Down Notes'!$B$18:$B$24</definedName>
    <definedName name="RestorationLevel">'Pull Down Notes'!$B$69:$B$71</definedName>
    <definedName name="RiverBasins">'Pull Down Notes'!$B$89:$B$97</definedName>
    <definedName name="StreamOrder">'Pull Down Notes'!$B$113:$B$117</definedName>
    <definedName name="StreamType">'Pull Down Notes'!$B$1:$B$16</definedName>
    <definedName name="Temperature">'Pull Down Notes'!$B$99:$B$101</definedName>
    <definedName name="ValleySlope">'Pull Down Notes'!$B$123:$B$127</definedName>
    <definedName name="ValleyType">'Pull Down Notes'!$B$108:$B$111</definedName>
    <definedName name="Yes.No">'Pull Down Notes'!$B$78:$B$80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110" i="32" l="1"/>
  <c r="G110" i="32"/>
  <c r="H110" i="32"/>
  <c r="I110" i="32"/>
  <c r="J110" i="32"/>
  <c r="K110" i="32"/>
  <c r="L110" i="32"/>
  <c r="M110" i="32"/>
  <c r="N110" i="32"/>
  <c r="O110" i="32"/>
  <c r="E110" i="32"/>
  <c r="F47" i="32"/>
  <c r="J47" i="32"/>
  <c r="E113" i="32" l="1"/>
  <c r="F113" i="32"/>
  <c r="G113" i="32"/>
  <c r="J48" i="32"/>
  <c r="E130" i="32" l="1"/>
  <c r="E117" i="32"/>
  <c r="F117" i="32"/>
  <c r="G117" i="32"/>
  <c r="H117" i="32"/>
  <c r="I117" i="32"/>
  <c r="J117" i="32"/>
  <c r="K117" i="32"/>
  <c r="L117" i="32"/>
  <c r="M117" i="32"/>
  <c r="N117" i="32"/>
  <c r="O117" i="32"/>
  <c r="F54" i="32"/>
  <c r="J54" i="32"/>
  <c r="AP220" i="1"/>
  <c r="AP219" i="1"/>
  <c r="AP186" i="1"/>
  <c r="AP185" i="1"/>
  <c r="AP151" i="1"/>
  <c r="AP150" i="1"/>
  <c r="AP117" i="1"/>
  <c r="AP116" i="1"/>
  <c r="AO50" i="1"/>
  <c r="F115" i="32"/>
  <c r="G115" i="32"/>
  <c r="G131" i="32" s="1"/>
  <c r="H115" i="32"/>
  <c r="I115" i="32"/>
  <c r="J115" i="32"/>
  <c r="K115" i="32"/>
  <c r="L115" i="32"/>
  <c r="M115" i="32"/>
  <c r="N115" i="32"/>
  <c r="O115" i="32"/>
  <c r="O131" i="32" s="1"/>
  <c r="E115" i="32"/>
  <c r="F114" i="32"/>
  <c r="G114" i="32"/>
  <c r="H114" i="32"/>
  <c r="I114" i="32"/>
  <c r="J114" i="32"/>
  <c r="K114" i="32"/>
  <c r="L114" i="32"/>
  <c r="M114" i="32"/>
  <c r="N114" i="32"/>
  <c r="O114" i="32"/>
  <c r="E114" i="32"/>
  <c r="J52" i="32"/>
  <c r="J51" i="32"/>
  <c r="F52" i="32"/>
  <c r="F51" i="32"/>
  <c r="AG153" i="1"/>
  <c r="AG152" i="1"/>
  <c r="N131" i="32" l="1"/>
  <c r="M131" i="32"/>
  <c r="L131" i="32"/>
  <c r="K131" i="32"/>
  <c r="J131" i="32"/>
  <c r="I131" i="32"/>
  <c r="H131" i="32"/>
  <c r="F131" i="32"/>
  <c r="E131" i="32"/>
  <c r="K51" i="32"/>
  <c r="D131" i="32" s="1"/>
  <c r="G51" i="32"/>
  <c r="C131" i="32" s="1"/>
  <c r="AF153" i="1" l="1"/>
  <c r="AF152" i="1"/>
  <c r="H113" i="32"/>
  <c r="I113" i="32"/>
  <c r="J113" i="32"/>
  <c r="K113" i="32"/>
  <c r="L113" i="32"/>
  <c r="M113" i="32"/>
  <c r="N113" i="32"/>
  <c r="O113" i="32"/>
  <c r="J50" i="32"/>
  <c r="F50" i="32"/>
  <c r="AG119" i="1"/>
  <c r="AG118" i="1"/>
  <c r="AF119" i="1"/>
  <c r="AF118" i="1"/>
  <c r="AG86" i="1"/>
  <c r="AG85" i="1"/>
  <c r="AF86" i="1"/>
  <c r="AF85" i="1"/>
  <c r="F111" i="32"/>
  <c r="G111" i="32"/>
  <c r="H111" i="32"/>
  <c r="I111" i="32"/>
  <c r="J111" i="32"/>
  <c r="K111" i="32"/>
  <c r="L111" i="32"/>
  <c r="M111" i="32"/>
  <c r="N111" i="32"/>
  <c r="O111" i="32"/>
  <c r="F48" i="32"/>
  <c r="E111" i="32"/>
  <c r="AJ50" i="1"/>
  <c r="AG50" i="1" l="1"/>
  <c r="AG49" i="1"/>
  <c r="AF16" i="1"/>
  <c r="AF15" i="1"/>
  <c r="AF49" i="1" l="1"/>
  <c r="AF50" i="1"/>
  <c r="AQ16" i="1"/>
  <c r="AP16" i="1"/>
  <c r="AO16" i="1"/>
  <c r="AQ15" i="1"/>
  <c r="AP15" i="1"/>
  <c r="AO15" i="1"/>
  <c r="AQ50" i="1"/>
  <c r="AP50" i="1"/>
  <c r="AQ49" i="1"/>
  <c r="AP49" i="1"/>
  <c r="AO49" i="1"/>
  <c r="AQ84" i="1"/>
  <c r="AP84" i="1"/>
  <c r="AO84" i="1"/>
  <c r="AQ83" i="1"/>
  <c r="AP83" i="1"/>
  <c r="AO83" i="1"/>
  <c r="AO220" i="1" l="1"/>
  <c r="AO219" i="1"/>
  <c r="AO186" i="1"/>
  <c r="AO185" i="1"/>
  <c r="AO151" i="1"/>
  <c r="AO150" i="1"/>
  <c r="AO117" i="1"/>
  <c r="AO116" i="1"/>
  <c r="K50" i="32" l="1"/>
  <c r="D130" i="32" s="1"/>
  <c r="G50" i="32"/>
  <c r="C130" i="32" s="1"/>
  <c r="C8" i="32" l="1"/>
  <c r="C7" i="32"/>
  <c r="F53" i="32" l="1"/>
  <c r="G53" i="32" s="1"/>
  <c r="J53" i="32"/>
  <c r="G116" i="32"/>
  <c r="G132" i="32" s="1"/>
  <c r="O116" i="32"/>
  <c r="O132" i="32" s="1"/>
  <c r="H116" i="32"/>
  <c r="H132" i="32" s="1"/>
  <c r="J116" i="32"/>
  <c r="J132" i="32" s="1"/>
  <c r="L116" i="32"/>
  <c r="L132" i="32" s="1"/>
  <c r="E116" i="32"/>
  <c r="E132" i="32" s="1"/>
  <c r="M116" i="32"/>
  <c r="M132" i="32" s="1"/>
  <c r="N116" i="32"/>
  <c r="N132" i="32" s="1"/>
  <c r="I116" i="32"/>
  <c r="I132" i="32" s="1"/>
  <c r="K116" i="32"/>
  <c r="K132" i="32" s="1"/>
  <c r="F116" i="32"/>
  <c r="F132" i="32" s="1"/>
  <c r="K53" i="32"/>
  <c r="F107" i="32"/>
  <c r="G107" i="32"/>
  <c r="H107" i="32"/>
  <c r="I107" i="32"/>
  <c r="J107" i="32"/>
  <c r="K107" i="32"/>
  <c r="L107" i="32"/>
  <c r="M107" i="32"/>
  <c r="N107" i="32"/>
  <c r="O107" i="32"/>
  <c r="F108" i="32"/>
  <c r="G108" i="32"/>
  <c r="H108" i="32"/>
  <c r="I108" i="32"/>
  <c r="J108" i="32"/>
  <c r="K108" i="32"/>
  <c r="L108" i="32"/>
  <c r="M108" i="32"/>
  <c r="N108" i="32"/>
  <c r="O108" i="32"/>
  <c r="F109" i="32"/>
  <c r="G109" i="32"/>
  <c r="H109" i="32"/>
  <c r="I109" i="32"/>
  <c r="J109" i="32"/>
  <c r="K109" i="32"/>
  <c r="L109" i="32"/>
  <c r="M109" i="32"/>
  <c r="N109" i="32"/>
  <c r="O109" i="32"/>
  <c r="E109" i="32"/>
  <c r="E108" i="32"/>
  <c r="E107" i="32"/>
  <c r="F93" i="32"/>
  <c r="G93" i="32"/>
  <c r="H93" i="32"/>
  <c r="I93" i="32"/>
  <c r="J93" i="32"/>
  <c r="K93" i="32"/>
  <c r="L93" i="32"/>
  <c r="M93" i="32"/>
  <c r="N93" i="32"/>
  <c r="O93" i="32"/>
  <c r="E93" i="32"/>
  <c r="J46" i="32"/>
  <c r="F46" i="32"/>
  <c r="J45" i="32"/>
  <c r="F45" i="32"/>
  <c r="J44" i="32"/>
  <c r="F44" i="32"/>
  <c r="J30" i="32"/>
  <c r="O135" i="32"/>
  <c r="N135" i="32"/>
  <c r="M135" i="32"/>
  <c r="L135" i="32"/>
  <c r="K135" i="32"/>
  <c r="J135" i="32"/>
  <c r="I135" i="32"/>
  <c r="H135" i="32"/>
  <c r="G135" i="32"/>
  <c r="F135" i="32"/>
  <c r="O119" i="32"/>
  <c r="N119" i="32"/>
  <c r="M119" i="32"/>
  <c r="L119" i="32"/>
  <c r="K119" i="32"/>
  <c r="J119" i="32"/>
  <c r="I119" i="32"/>
  <c r="H119" i="32"/>
  <c r="G119" i="32"/>
  <c r="F119" i="32"/>
  <c r="O133" i="32"/>
  <c r="N133" i="32"/>
  <c r="M133" i="32"/>
  <c r="L133" i="32"/>
  <c r="K133" i="32"/>
  <c r="J133" i="32"/>
  <c r="I133" i="32"/>
  <c r="H133" i="32"/>
  <c r="G133" i="32"/>
  <c r="F133" i="32"/>
  <c r="E133" i="32"/>
  <c r="O130" i="32"/>
  <c r="N130" i="32"/>
  <c r="M130" i="32"/>
  <c r="L130" i="32"/>
  <c r="K130" i="32"/>
  <c r="J130" i="32"/>
  <c r="I130" i="32"/>
  <c r="H130" i="32"/>
  <c r="G130" i="32"/>
  <c r="F130" i="32"/>
  <c r="O112" i="32"/>
  <c r="O129" i="32" s="1"/>
  <c r="N112" i="32"/>
  <c r="N129" i="32" s="1"/>
  <c r="M112" i="32"/>
  <c r="M129" i="32" s="1"/>
  <c r="L112" i="32"/>
  <c r="L129" i="32" s="1"/>
  <c r="K112" i="32"/>
  <c r="K129" i="32" s="1"/>
  <c r="J112" i="32"/>
  <c r="J129" i="32" s="1"/>
  <c r="I112" i="32"/>
  <c r="I129" i="32" s="1"/>
  <c r="H112" i="32"/>
  <c r="H129" i="32" s="1"/>
  <c r="G112" i="32"/>
  <c r="G129" i="32" s="1"/>
  <c r="F112" i="32"/>
  <c r="F129" i="32" s="1"/>
  <c r="E112" i="32"/>
  <c r="E129" i="32" s="1"/>
  <c r="O128" i="32"/>
  <c r="N128" i="32"/>
  <c r="M128" i="32"/>
  <c r="L128" i="32"/>
  <c r="K128" i="32"/>
  <c r="J128" i="32"/>
  <c r="I128" i="32"/>
  <c r="H128" i="32"/>
  <c r="G128" i="32"/>
  <c r="F128" i="32"/>
  <c r="E128" i="32"/>
  <c r="O127" i="32"/>
  <c r="N127" i="32"/>
  <c r="M127" i="32"/>
  <c r="L127" i="32"/>
  <c r="K127" i="32"/>
  <c r="J127" i="32"/>
  <c r="I127" i="32"/>
  <c r="H127" i="32"/>
  <c r="G127" i="32"/>
  <c r="F127" i="32"/>
  <c r="E127" i="32"/>
  <c r="O106" i="32"/>
  <c r="N106" i="32"/>
  <c r="M106" i="32"/>
  <c r="L106" i="32"/>
  <c r="K106" i="32"/>
  <c r="J106" i="32"/>
  <c r="I106" i="32"/>
  <c r="H106" i="32"/>
  <c r="G106" i="32"/>
  <c r="F106" i="32"/>
  <c r="E106" i="32"/>
  <c r="O105" i="32"/>
  <c r="N105" i="32"/>
  <c r="M105" i="32"/>
  <c r="L105" i="32"/>
  <c r="K105" i="32"/>
  <c r="J105" i="32"/>
  <c r="I105" i="32"/>
  <c r="H105" i="32"/>
  <c r="G105" i="32"/>
  <c r="F105" i="32"/>
  <c r="E105" i="32"/>
  <c r="O104" i="32"/>
  <c r="N104" i="32"/>
  <c r="M104" i="32"/>
  <c r="L104" i="32"/>
  <c r="K104" i="32"/>
  <c r="J104" i="32"/>
  <c r="I104" i="32"/>
  <c r="H104" i="32"/>
  <c r="G104" i="32"/>
  <c r="F104" i="32"/>
  <c r="E104" i="32"/>
  <c r="O103" i="32"/>
  <c r="N103" i="32"/>
  <c r="M103" i="32"/>
  <c r="L103" i="32"/>
  <c r="K103" i="32"/>
  <c r="J103" i="32"/>
  <c r="I103" i="32"/>
  <c r="H103" i="32"/>
  <c r="G103" i="32"/>
  <c r="F103" i="32"/>
  <c r="E103" i="32"/>
  <c r="O102" i="32"/>
  <c r="N102" i="32"/>
  <c r="M102" i="32"/>
  <c r="L102" i="32"/>
  <c r="K102" i="32"/>
  <c r="J102" i="32"/>
  <c r="I102" i="32"/>
  <c r="H102" i="32"/>
  <c r="G102" i="32"/>
  <c r="F102" i="32"/>
  <c r="E102" i="32"/>
  <c r="O101" i="32"/>
  <c r="N101" i="32"/>
  <c r="M101" i="32"/>
  <c r="L101" i="32"/>
  <c r="K101" i="32"/>
  <c r="J101" i="32"/>
  <c r="I101" i="32"/>
  <c r="H101" i="32"/>
  <c r="G101" i="32"/>
  <c r="F101" i="32"/>
  <c r="E101" i="32"/>
  <c r="O100" i="32"/>
  <c r="N100" i="32"/>
  <c r="M100" i="32"/>
  <c r="L100" i="32"/>
  <c r="K100" i="32"/>
  <c r="J100" i="32"/>
  <c r="I100" i="32"/>
  <c r="H100" i="32"/>
  <c r="G100" i="32"/>
  <c r="F100" i="32"/>
  <c r="E100" i="32"/>
  <c r="O99" i="32"/>
  <c r="N99" i="32"/>
  <c r="M99" i="32"/>
  <c r="L99" i="32"/>
  <c r="K99" i="32"/>
  <c r="J99" i="32"/>
  <c r="I99" i="32"/>
  <c r="H99" i="32"/>
  <c r="G99" i="32"/>
  <c r="F99" i="32"/>
  <c r="E99" i="32"/>
  <c r="O98" i="32"/>
  <c r="N98" i="32"/>
  <c r="M98" i="32"/>
  <c r="L98" i="32"/>
  <c r="K98" i="32"/>
  <c r="J98" i="32"/>
  <c r="I98" i="32"/>
  <c r="H98" i="32"/>
  <c r="G98" i="32"/>
  <c r="F98" i="32"/>
  <c r="E98" i="32"/>
  <c r="O97" i="32"/>
  <c r="N97" i="32"/>
  <c r="M97" i="32"/>
  <c r="L97" i="32"/>
  <c r="K97" i="32"/>
  <c r="J97" i="32"/>
  <c r="I97" i="32"/>
  <c r="H97" i="32"/>
  <c r="G97" i="32"/>
  <c r="F97" i="32"/>
  <c r="E97" i="32"/>
  <c r="O96" i="32"/>
  <c r="N96" i="32"/>
  <c r="M96" i="32"/>
  <c r="L96" i="32"/>
  <c r="K96" i="32"/>
  <c r="J96" i="32"/>
  <c r="I96" i="32"/>
  <c r="H96" i="32"/>
  <c r="G96" i="32"/>
  <c r="F96" i="32"/>
  <c r="E96" i="32"/>
  <c r="O95" i="32"/>
  <c r="N95" i="32"/>
  <c r="M95" i="32"/>
  <c r="L95" i="32"/>
  <c r="K95" i="32"/>
  <c r="J95" i="32"/>
  <c r="I95" i="32"/>
  <c r="H95" i="32"/>
  <c r="G95" i="32"/>
  <c r="F95" i="32"/>
  <c r="E95" i="32"/>
  <c r="O94" i="32"/>
  <c r="O122" i="32" s="1"/>
  <c r="N94" i="32"/>
  <c r="N122" i="32" s="1"/>
  <c r="M94" i="32"/>
  <c r="M122" i="32" s="1"/>
  <c r="L94" i="32"/>
  <c r="L122" i="32" s="1"/>
  <c r="K94" i="32"/>
  <c r="K122" i="32" s="1"/>
  <c r="J94" i="32"/>
  <c r="J122" i="32" s="1"/>
  <c r="I94" i="32"/>
  <c r="I122" i="32" s="1"/>
  <c r="H94" i="32"/>
  <c r="H122" i="32" s="1"/>
  <c r="G94" i="32"/>
  <c r="G122" i="32" s="1"/>
  <c r="F94" i="32"/>
  <c r="F122" i="32" s="1"/>
  <c r="E94" i="32"/>
  <c r="E122" i="32" s="1"/>
  <c r="O92" i="32"/>
  <c r="N92" i="32"/>
  <c r="M92" i="32"/>
  <c r="L92" i="32"/>
  <c r="K92" i="32"/>
  <c r="J92" i="32"/>
  <c r="I92" i="32"/>
  <c r="H92" i="32"/>
  <c r="G92" i="32"/>
  <c r="F92" i="32"/>
  <c r="E92" i="32"/>
  <c r="O91" i="32"/>
  <c r="N91" i="32"/>
  <c r="M91" i="32"/>
  <c r="L91" i="32"/>
  <c r="K91" i="32"/>
  <c r="J91" i="32"/>
  <c r="I91" i="32"/>
  <c r="H91" i="32"/>
  <c r="G91" i="32"/>
  <c r="F91" i="32"/>
  <c r="E91" i="32"/>
  <c r="O90" i="32"/>
  <c r="N90" i="32"/>
  <c r="M90" i="32"/>
  <c r="L90" i="32"/>
  <c r="K90" i="32"/>
  <c r="J90" i="32"/>
  <c r="I90" i="32"/>
  <c r="H90" i="32"/>
  <c r="G90" i="32"/>
  <c r="F90" i="32"/>
  <c r="E90" i="32"/>
  <c r="K54" i="32"/>
  <c r="D133" i="32" s="1"/>
  <c r="G54" i="32"/>
  <c r="C133" i="32" s="1"/>
  <c r="J49" i="32"/>
  <c r="K49" i="32" s="1"/>
  <c r="D129" i="32" s="1"/>
  <c r="F49" i="32"/>
  <c r="G49" i="32" s="1"/>
  <c r="C129" i="32" s="1"/>
  <c r="K48" i="32"/>
  <c r="D128" i="32" s="1"/>
  <c r="G48" i="32"/>
  <c r="K47" i="32"/>
  <c r="G47" i="32"/>
  <c r="J43" i="32"/>
  <c r="F43" i="32"/>
  <c r="J42" i="32"/>
  <c r="F42" i="32"/>
  <c r="J41" i="32"/>
  <c r="F41" i="32"/>
  <c r="J40" i="32"/>
  <c r="F40" i="32"/>
  <c r="J39" i="32"/>
  <c r="F39" i="32"/>
  <c r="J38" i="32"/>
  <c r="F38" i="32"/>
  <c r="J37" i="32"/>
  <c r="F37" i="32"/>
  <c r="J36" i="32"/>
  <c r="F36" i="32"/>
  <c r="J35" i="32"/>
  <c r="F35" i="32"/>
  <c r="J34" i="32"/>
  <c r="F34" i="32"/>
  <c r="J33" i="32"/>
  <c r="F33" i="32"/>
  <c r="J32" i="32"/>
  <c r="F32" i="32"/>
  <c r="J31" i="32"/>
  <c r="K31" i="32" s="1"/>
  <c r="D122" i="32" s="1"/>
  <c r="F31" i="32"/>
  <c r="G31" i="32" s="1"/>
  <c r="C122" i="32" s="1"/>
  <c r="F30" i="32"/>
  <c r="J29" i="32"/>
  <c r="F29" i="32"/>
  <c r="J28" i="32"/>
  <c r="F28" i="32"/>
  <c r="J27" i="32"/>
  <c r="F27" i="32"/>
  <c r="H13" i="32"/>
  <c r="H12" i="32"/>
  <c r="C3" i="32"/>
  <c r="E139" i="32" l="1"/>
  <c r="J121" i="32"/>
  <c r="J137" i="32" s="1"/>
  <c r="M139" i="32"/>
  <c r="O139" i="32"/>
  <c r="N139" i="32"/>
  <c r="G139" i="32"/>
  <c r="F139" i="32"/>
  <c r="L139" i="32"/>
  <c r="K139" i="32"/>
  <c r="J139" i="32"/>
  <c r="I139" i="32"/>
  <c r="H139" i="32"/>
  <c r="E140" i="32"/>
  <c r="C128" i="32"/>
  <c r="H47" i="32"/>
  <c r="C139" i="32" s="1"/>
  <c r="L47" i="32"/>
  <c r="D139" i="32" s="1"/>
  <c r="L120" i="32"/>
  <c r="L136" i="32" s="1"/>
  <c r="H123" i="32"/>
  <c r="E120" i="32"/>
  <c r="E136" i="32" s="1"/>
  <c r="M120" i="32"/>
  <c r="M136" i="32" s="1"/>
  <c r="I123" i="32"/>
  <c r="F120" i="32"/>
  <c r="F136" i="32" s="1"/>
  <c r="N120" i="32"/>
  <c r="N136" i="32" s="1"/>
  <c r="J123" i="32"/>
  <c r="K34" i="32"/>
  <c r="D124" i="32" s="1"/>
  <c r="O120" i="32"/>
  <c r="O136" i="32" s="1"/>
  <c r="K32" i="32"/>
  <c r="D123" i="32" s="1"/>
  <c r="E123" i="32"/>
  <c r="M123" i="32"/>
  <c r="J124" i="32"/>
  <c r="F125" i="32"/>
  <c r="N125" i="32"/>
  <c r="K124" i="32"/>
  <c r="G120" i="32"/>
  <c r="G136" i="32" s="1"/>
  <c r="K123" i="32"/>
  <c r="G32" i="32"/>
  <c r="H120" i="32"/>
  <c r="H136" i="32" s="1"/>
  <c r="L123" i="32"/>
  <c r="N124" i="32"/>
  <c r="M124" i="32"/>
  <c r="J125" i="32"/>
  <c r="G38" i="32"/>
  <c r="C125" i="32" s="1"/>
  <c r="I120" i="32"/>
  <c r="I136" i="32" s="1"/>
  <c r="G124" i="32"/>
  <c r="O124" i="32"/>
  <c r="I121" i="32"/>
  <c r="I137" i="32" s="1"/>
  <c r="E124" i="32"/>
  <c r="G29" i="32"/>
  <c r="C121" i="32" s="1"/>
  <c r="G34" i="32"/>
  <c r="C124" i="32" s="1"/>
  <c r="G27" i="32"/>
  <c r="C120" i="32" s="1"/>
  <c r="J120" i="32"/>
  <c r="J136" i="32" s="1"/>
  <c r="F123" i="32"/>
  <c r="N123" i="32"/>
  <c r="I125" i="32"/>
  <c r="F124" i="32"/>
  <c r="K120" i="32"/>
  <c r="K136" i="32" s="1"/>
  <c r="G123" i="32"/>
  <c r="O123" i="32"/>
  <c r="I124" i="32"/>
  <c r="H124" i="32"/>
  <c r="E125" i="32"/>
  <c r="M125" i="32"/>
  <c r="L124" i="32"/>
  <c r="O121" i="32"/>
  <c r="O137" i="32" s="1"/>
  <c r="G121" i="32"/>
  <c r="G137" i="32" s="1"/>
  <c r="L140" i="32"/>
  <c r="K140" i="32"/>
  <c r="K121" i="32"/>
  <c r="K137" i="32" s="1"/>
  <c r="M121" i="32"/>
  <c r="M137" i="32" s="1"/>
  <c r="J140" i="32"/>
  <c r="F140" i="32"/>
  <c r="N140" i="32"/>
  <c r="H140" i="32"/>
  <c r="F126" i="32"/>
  <c r="N121" i="32"/>
  <c r="N137" i="32" s="1"/>
  <c r="K126" i="32"/>
  <c r="M126" i="32"/>
  <c r="F121" i="32"/>
  <c r="F137" i="32" s="1"/>
  <c r="O126" i="32"/>
  <c r="G126" i="32"/>
  <c r="N126" i="32"/>
  <c r="J126" i="32"/>
  <c r="K27" i="32"/>
  <c r="L27" i="32" s="1"/>
  <c r="D136" i="32" s="1"/>
  <c r="E126" i="32"/>
  <c r="H126" i="32"/>
  <c r="L126" i="32"/>
  <c r="I126" i="32"/>
  <c r="H14" i="32"/>
  <c r="H125" i="32"/>
  <c r="K125" i="32"/>
  <c r="L121" i="32"/>
  <c r="L137" i="32" s="1"/>
  <c r="H121" i="32"/>
  <c r="H137" i="32" s="1"/>
  <c r="E121" i="32"/>
  <c r="E137" i="32" s="1"/>
  <c r="G44" i="32"/>
  <c r="C126" i="32" s="1"/>
  <c r="K44" i="32"/>
  <c r="D126" i="32" s="1"/>
  <c r="K29" i="32"/>
  <c r="D121" i="32" s="1"/>
  <c r="G125" i="32"/>
  <c r="O125" i="32"/>
  <c r="K38" i="32"/>
  <c r="D125" i="32" s="1"/>
  <c r="L125" i="32"/>
  <c r="C127" i="32"/>
  <c r="D127" i="32"/>
  <c r="M140" i="32"/>
  <c r="G140" i="32"/>
  <c r="O140" i="32"/>
  <c r="H53" i="32"/>
  <c r="C140" i="32" s="1"/>
  <c r="D132" i="32"/>
  <c r="L53" i="32"/>
  <c r="D140" i="32" s="1"/>
  <c r="I140" i="32"/>
  <c r="C132" i="32"/>
  <c r="C123" i="32" l="1"/>
  <c r="H32" i="32"/>
  <c r="C138" i="32" s="1"/>
  <c r="H27" i="32"/>
  <c r="C136" i="32" s="1"/>
  <c r="G138" i="32"/>
  <c r="G141" i="32" s="1"/>
  <c r="H138" i="32"/>
  <c r="H141" i="32" s="1"/>
  <c r="E138" i="32"/>
  <c r="E141" i="32" s="1"/>
  <c r="M138" i="32"/>
  <c r="M141" i="32" s="1"/>
  <c r="J138" i="32"/>
  <c r="J141" i="32" s="1"/>
  <c r="H29" i="32"/>
  <c r="C137" i="32" s="1"/>
  <c r="K138" i="32"/>
  <c r="K141" i="32" s="1"/>
  <c r="F138" i="32"/>
  <c r="F141" i="32" s="1"/>
  <c r="N138" i="32"/>
  <c r="N141" i="32" s="1"/>
  <c r="I138" i="32"/>
  <c r="I141" i="32" s="1"/>
  <c r="L138" i="32"/>
  <c r="L141" i="32" s="1"/>
  <c r="O138" i="32"/>
  <c r="O141" i="32" s="1"/>
  <c r="D120" i="32"/>
  <c r="L29" i="32"/>
  <c r="D137" i="32" s="1"/>
  <c r="L32" i="32"/>
  <c r="D138" i="32" s="1"/>
  <c r="C141" i="32" l="1"/>
  <c r="H8" i="32" s="1"/>
  <c r="D141" i="32"/>
  <c r="H15" i="32" l="1"/>
  <c r="H9" i="32"/>
  <c r="H10" i="32" s="1"/>
  <c r="H11" i="32" s="1"/>
  <c r="H16" i="32" l="1"/>
  <c r="H18" i="32" s="1"/>
  <c r="B28" i="10" a="1"/>
  <c r="B29" i="10" a="1"/>
  <c r="B23" i="10" a="1"/>
  <c r="B24" i="10" a="1"/>
  <c r="B26" i="10" a="1"/>
  <c r="B22" i="10" a="1"/>
  <c r="B21" i="10" a="1"/>
  <c r="B27" i="10" a="1"/>
  <c r="B25" i="10" a="1"/>
  <c r="H17" i="32" l="1"/>
  <c r="B26" i="10"/>
  <c r="B29" i="10"/>
  <c r="B25" i="10"/>
  <c r="B28" i="10"/>
  <c r="B24" i="10"/>
  <c r="B27" i="10"/>
  <c r="B23" i="10"/>
  <c r="B22" i="10"/>
  <c r="B21" i="10"/>
  <c r="X299" i="1" l="1"/>
  <c r="Y226" i="1"/>
  <c r="H24" i="10" a="1"/>
  <c r="F24" i="10" a="1"/>
  <c r="H27" i="10" a="1"/>
  <c r="H29" i="10" a="1"/>
  <c r="G28" i="10" a="1"/>
  <c r="H28" i="10" a="1"/>
  <c r="H23" i="10" a="1"/>
  <c r="F27" i="10" a="1"/>
  <c r="F22" i="10" a="1"/>
  <c r="F29" i="10" a="1"/>
  <c r="H25" i="10" a="1"/>
  <c r="F25" i="10" a="1"/>
  <c r="F28" i="10" a="1"/>
  <c r="F23" i="10" a="1"/>
  <c r="G21" i="10" a="1"/>
  <c r="G24" i="10" a="1"/>
  <c r="G23" i="10" a="1"/>
  <c r="G22" i="10" a="1"/>
  <c r="F21" i="10" a="1"/>
  <c r="G25" i="10" a="1"/>
  <c r="G29" i="10" a="1"/>
  <c r="G26" i="10" a="1"/>
  <c r="G27" i="10" a="1"/>
  <c r="H22" i="10" a="1"/>
  <c r="H26" i="10" a="1"/>
  <c r="F26" i="10" a="1"/>
  <c r="H21" i="10" a="1"/>
  <c r="G23" i="10" l="1"/>
  <c r="G27" i="10"/>
  <c r="F22" i="10"/>
  <c r="G28" i="10"/>
  <c r="H25" i="10"/>
  <c r="G24" i="10"/>
  <c r="F23" i="10"/>
  <c r="H21" i="10"/>
  <c r="F26" i="10"/>
  <c r="H29" i="10"/>
  <c r="F27" i="10"/>
  <c r="G29" i="10"/>
  <c r="F28" i="10"/>
  <c r="H26" i="10"/>
  <c r="G25" i="10"/>
  <c r="F24" i="10"/>
  <c r="H22" i="10"/>
  <c r="G21" i="10"/>
  <c r="H28" i="10"/>
  <c r="H24" i="10"/>
  <c r="F29" i="10"/>
  <c r="H27" i="10"/>
  <c r="G26" i="10"/>
  <c r="F25" i="10"/>
  <c r="H23" i="10"/>
  <c r="G22" i="10"/>
  <c r="F21" i="10"/>
  <c r="B20" i="10" a="1"/>
  <c r="B20" i="10" l="1"/>
  <c r="U433" i="1" l="1"/>
  <c r="U398" i="1"/>
  <c r="U363" i="1" l="1"/>
  <c r="G20" i="10" a="1"/>
  <c r="G20" i="10" l="1"/>
  <c r="F20" i="10" a="1"/>
  <c r="F20" i="10" l="1"/>
  <c r="H20" i="10" a="1"/>
  <c r="H20" i="10"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cjones</author>
  </authors>
  <commentList>
    <comment ref="A18" authorId="0" shapeId="0" xr:uid="{544A13D0-56E2-4952-9F5D-5D35F1AB8B19}">
      <text>
        <r>
          <rPr>
            <sz val="9"/>
            <color indexed="81"/>
            <rFont val="Tahoma"/>
            <family val="2"/>
          </rPr>
          <t>Write worksheet name here (Use the same acronym for the worksheet, ex. TC1).  No blank spaces, use _</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cjones</author>
  </authors>
  <commentList>
    <comment ref="C76" authorId="0" shapeId="0" xr:uid="{CA4CA0F8-B739-419F-A60D-A4D64DF1B667}">
      <text>
        <r>
          <rPr>
            <sz val="9"/>
            <color indexed="81"/>
            <rFont val="Tahoma"/>
            <family val="2"/>
          </rPr>
          <t xml:space="preserve">This metric is not used for scoring. </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<sst xmlns="http://schemas.openxmlformats.org/spreadsheetml/2006/main" count="944" uniqueCount="430">
  <si>
    <t>Bank Height Ratio (BHR)</t>
  </si>
  <si>
    <t>Functional Category</t>
  </si>
  <si>
    <t>Function-Based Parameters</t>
  </si>
  <si>
    <t>Hydraulics</t>
  </si>
  <si>
    <t>Floodplain Connectivity</t>
  </si>
  <si>
    <t>C</t>
  </si>
  <si>
    <t>E</t>
  </si>
  <si>
    <t>B</t>
  </si>
  <si>
    <t>Bc</t>
  </si>
  <si>
    <t>Field Value</t>
  </si>
  <si>
    <t>Index Value</t>
  </si>
  <si>
    <t>Parameter</t>
  </si>
  <si>
    <t>Category</t>
  </si>
  <si>
    <t>A</t>
  </si>
  <si>
    <t>Sand</t>
  </si>
  <si>
    <t>Gravel</t>
  </si>
  <si>
    <t>LWD Index</t>
  </si>
  <si>
    <t>Perennial</t>
  </si>
  <si>
    <t>Flow Type:</t>
  </si>
  <si>
    <t>Geomorphology</t>
  </si>
  <si>
    <t>Large Woody Debris</t>
  </si>
  <si>
    <t>Ephemeral</t>
  </si>
  <si>
    <t>L/VL</t>
  </si>
  <si>
    <t>L/L</t>
  </si>
  <si>
    <t>L/M</t>
  </si>
  <si>
    <t>L/H</t>
  </si>
  <si>
    <t>L/VH</t>
  </si>
  <si>
    <t>M/VL</t>
  </si>
  <si>
    <t>M/L</t>
  </si>
  <si>
    <t>M/M</t>
  </si>
  <si>
    <t>M/H</t>
  </si>
  <si>
    <t>L/Ex</t>
  </si>
  <si>
    <t>H/L</t>
  </si>
  <si>
    <t>H/M</t>
  </si>
  <si>
    <t>H/H</t>
  </si>
  <si>
    <t>VH/VL</t>
  </si>
  <si>
    <t>Ex/VL</t>
  </si>
  <si>
    <t>H/Ex</t>
  </si>
  <si>
    <t>Ex/M</t>
  </si>
  <si>
    <t>Ex/H</t>
  </si>
  <si>
    <t>Ex/VH</t>
  </si>
  <si>
    <t>VH/VH</t>
  </si>
  <si>
    <t>Ex/Ex</t>
  </si>
  <si>
    <t>Dominant BEHI/NBS</t>
  </si>
  <si>
    <t>Riparian Vegetation</t>
  </si>
  <si>
    <t>Bed Form Diversity</t>
  </si>
  <si>
    <t>EXISTING CONDITION ASSESSMENT</t>
  </si>
  <si>
    <t>PROPOSED CONDITION ASSESSMENT</t>
  </si>
  <si>
    <t>Restoration Potential:</t>
  </si>
  <si>
    <t>Physicochemical</t>
  </si>
  <si>
    <t>Biology</t>
  </si>
  <si>
    <t>Piedmont</t>
  </si>
  <si>
    <t>Intermittent</t>
  </si>
  <si>
    <t>Hydrology</t>
  </si>
  <si>
    <t>Yes</t>
  </si>
  <si>
    <t>No</t>
  </si>
  <si>
    <t>Proposed Stream Length (ft):</t>
  </si>
  <si>
    <t>Existing Stream Length (ft):</t>
  </si>
  <si>
    <t>Additional Stream Length (ft)</t>
  </si>
  <si>
    <t>Notes</t>
  </si>
  <si>
    <t>1. Users input values that are highlighted based on restoration potential</t>
  </si>
  <si>
    <t>Existing Stream Length (ft)</t>
  </si>
  <si>
    <t>Proposed Parameter</t>
  </si>
  <si>
    <t>Categories</t>
  </si>
  <si>
    <t>Description of Catchment Condition</t>
  </si>
  <si>
    <t>&gt;20% and &lt;70%</t>
  </si>
  <si>
    <t>TMDL</t>
  </si>
  <si>
    <t>Grant</t>
  </si>
  <si>
    <t>Other</t>
  </si>
  <si>
    <t>Programmatic Goals</t>
  </si>
  <si>
    <t>Select:</t>
  </si>
  <si>
    <t>River Basin:</t>
  </si>
  <si>
    <t>Broad</t>
  </si>
  <si>
    <t>Catawba</t>
  </si>
  <si>
    <t>Savannah</t>
  </si>
  <si>
    <t>Fish</t>
  </si>
  <si>
    <t>HYDRAULICS</t>
  </si>
  <si>
    <t>HYDROLOGY</t>
  </si>
  <si>
    <t>GEOMORPHOLOGY</t>
  </si>
  <si>
    <t>PHYSICOCHEMICAL</t>
  </si>
  <si>
    <t>BIOLOGY</t>
  </si>
  <si>
    <t>Erosion Rate (ft/yr)</t>
  </si>
  <si>
    <t>Stream Temperature:</t>
  </si>
  <si>
    <t>Coldwater</t>
  </si>
  <si>
    <t>Warmwater</t>
  </si>
  <si>
    <t>Temperature</t>
  </si>
  <si>
    <t>Nitrogen</t>
  </si>
  <si>
    <t>Phosphorus</t>
  </si>
  <si>
    <t>Proposed Stream Length (ft)</t>
  </si>
  <si>
    <t>F</t>
  </si>
  <si>
    <t>G</t>
  </si>
  <si>
    <t>Stream Slope (%):</t>
  </si>
  <si>
    <t>Proposed Bed Material:</t>
  </si>
  <si>
    <t>Total Nitrogen</t>
  </si>
  <si>
    <t>Percent Streambank Erosion (%)</t>
  </si>
  <si>
    <t>Bacteria</t>
  </si>
  <si>
    <t>Gc</t>
  </si>
  <si>
    <t>M/Ex</t>
  </si>
  <si>
    <t>M/VH</t>
  </si>
  <si>
    <t>H/VL</t>
  </si>
  <si>
    <t>H/VH</t>
  </si>
  <si>
    <t>VH/L</t>
  </si>
  <si>
    <t>VH/M</t>
  </si>
  <si>
    <t>VH/H</t>
  </si>
  <si>
    <t>VH/Ex</t>
  </si>
  <si>
    <t>Ex/L</t>
  </si>
  <si>
    <t>Reach ID:</t>
  </si>
  <si>
    <t>Existing Stream Type:</t>
  </si>
  <si>
    <t xml:space="preserve">Functional Category  </t>
  </si>
  <si>
    <t>ECS</t>
  </si>
  <si>
    <t>PCS</t>
  </si>
  <si>
    <t>Project Name:</t>
  </si>
  <si>
    <t>a</t>
  </si>
  <si>
    <t>b</t>
  </si>
  <si>
    <t>EPT Taxa Present</t>
  </si>
  <si>
    <t>NF</t>
  </si>
  <si>
    <t>NF &amp; FAR</t>
  </si>
  <si>
    <t>Proposed Condition Score (PCS)</t>
  </si>
  <si>
    <t>Poor</t>
  </si>
  <si>
    <t>Fair</t>
  </si>
  <si>
    <t>Good</t>
  </si>
  <si>
    <t>Rating (P/F/G)</t>
  </si>
  <si>
    <t>Reach Runoff</t>
  </si>
  <si>
    <t>Concentrated Flow Points</t>
  </si>
  <si>
    <t>3. Leave values blank for field values that were not measured</t>
  </si>
  <si>
    <t>2. Users select values from a pull-down menu</t>
  </si>
  <si>
    <t>Coefficients - Y = a * X + b</t>
  </si>
  <si>
    <t>Coefficients - Y = a * X^2 + b * X + c</t>
  </si>
  <si>
    <t>Stream Type:</t>
  </si>
  <si>
    <t>Dominant BEHI/NBS:</t>
  </si>
  <si>
    <t>Yes/No:</t>
  </si>
  <si>
    <t>Programmatic Goals:</t>
  </si>
  <si>
    <t>Catchment Condition:</t>
  </si>
  <si>
    <t>Valley Type:</t>
  </si>
  <si>
    <t>Colluvial</t>
  </si>
  <si>
    <t>Unconfined Alluvial</t>
  </si>
  <si>
    <t>Confined Alluvial</t>
  </si>
  <si>
    <t>Reach Description</t>
  </si>
  <si>
    <t>Mitigation - Credits</t>
  </si>
  <si>
    <t>Mitigation - Debits</t>
  </si>
  <si>
    <t>Change in Functional Condition (PCS - ECS)</t>
  </si>
  <si>
    <t>FUNCTIONAL CHANGE SUMMARY</t>
  </si>
  <si>
    <t>Percent Condition Change</t>
  </si>
  <si>
    <t>Existing Functional Foot Score (FFS)</t>
  </si>
  <si>
    <t>Proposed Functional Foot Score (FFS)</t>
  </si>
  <si>
    <t>Total Nitrogen (mg/L)</t>
  </si>
  <si>
    <t>Total Phosphorus (mg/L)</t>
  </si>
  <si>
    <t xml:space="preserve">Coefficients - Y = a * X + b </t>
  </si>
  <si>
    <t>Lateral Migration</t>
  </si>
  <si>
    <t>Metric</t>
  </si>
  <si>
    <t>Coefficients - Y = a  * X + b</t>
  </si>
  <si>
    <t>Moderate anthropogenic-caused sediment supply from upstream bank erosion and surface runoff.</t>
  </si>
  <si>
    <t>Land Use Coefficient</t>
  </si>
  <si>
    <t>Concentrated Flow Points (#/1000 LF)</t>
  </si>
  <si>
    <t xml:space="preserve">Coefficients - Y = a * X+ b </t>
  </si>
  <si>
    <t>Average DBH (in)</t>
  </si>
  <si>
    <t>Tree Density (#/acre)</t>
  </si>
  <si>
    <t>Macroinvertebrates</t>
  </si>
  <si>
    <t>Percent Streambank Armoring (%)</t>
  </si>
  <si>
    <t>Entrenchment Ratio (ER) B Streams</t>
  </si>
  <si>
    <t>Entrenchment Ratio (ER) C Streams</t>
  </si>
  <si>
    <t>Entrenchment Ratio (ER) E Streams</t>
  </si>
  <si>
    <t>Flow Dynamics</t>
  </si>
  <si>
    <t>Rising Limb</t>
  </si>
  <si>
    <t>Falling Limb</t>
  </si>
  <si>
    <t>Ba</t>
  </si>
  <si>
    <t>Cb</t>
  </si>
  <si>
    <t>Fb</t>
  </si>
  <si>
    <t>D</t>
  </si>
  <si>
    <t>DA</t>
  </si>
  <si>
    <t>Eb</t>
  </si>
  <si>
    <t>Reference Stream Type:</t>
  </si>
  <si>
    <t>Full</t>
  </si>
  <si>
    <t>Partial</t>
  </si>
  <si>
    <t>Percent Streambank Armoring</t>
  </si>
  <si>
    <t>Buffer Width (ft)</t>
  </si>
  <si>
    <t>Average Diameter at Breast Height (DBH)</t>
  </si>
  <si>
    <t>Tree Density</t>
  </si>
  <si>
    <t>CONDITION ASSESSMENT</t>
  </si>
  <si>
    <t>Year</t>
  </si>
  <si>
    <t>Reach Condition Score</t>
  </si>
  <si>
    <t>Strahler Stream Order:</t>
  </si>
  <si>
    <t>Strahler Stream Order</t>
  </si>
  <si>
    <t>First</t>
  </si>
  <si>
    <t>Second</t>
  </si>
  <si>
    <t>Third</t>
  </si>
  <si>
    <t>Fourth or greater</t>
  </si>
  <si>
    <t>Native Shrub Density (#/acre)</t>
  </si>
  <si>
    <t>Native Herbaceous Cover (%)</t>
  </si>
  <si>
    <t>Native Herbaceous Cover</t>
  </si>
  <si>
    <t>Native Shrub Density</t>
  </si>
  <si>
    <t>Applicable Reach(es):</t>
  </si>
  <si>
    <t>Insert Aerial Photo of Project Area</t>
  </si>
  <si>
    <t>Reach ID</t>
  </si>
  <si>
    <t>Reach Break Criteria</t>
  </si>
  <si>
    <t>Expand on the programmatic goals of this project:</t>
  </si>
  <si>
    <t>Reach Summary</t>
  </si>
  <si>
    <t>Pool Spacing Ratio for Bc Stream Types</t>
  </si>
  <si>
    <t>Pool Spacing Ratio for C and E Stream Types</t>
  </si>
  <si>
    <t>Total Phosphorous</t>
  </si>
  <si>
    <t>NF/FAR</t>
  </si>
  <si>
    <t>Rising limb</t>
  </si>
  <si>
    <r>
      <rPr>
        <b/>
        <sz val="11"/>
        <color theme="1"/>
        <rFont val="Grotesque"/>
        <family val="2"/>
      </rPr>
      <t>Δ</t>
    </r>
    <r>
      <rPr>
        <b/>
        <sz val="11"/>
        <color theme="1"/>
        <rFont val="Calibri"/>
        <family val="2"/>
        <scheme val="minor"/>
      </rPr>
      <t>FF</t>
    </r>
  </si>
  <si>
    <t>Worksheet Title</t>
  </si>
  <si>
    <r>
      <t>Functional Yield (</t>
    </r>
    <r>
      <rPr>
        <sz val="12"/>
        <color theme="1"/>
        <rFont val="Grotesque"/>
        <family val="2"/>
      </rPr>
      <t>∆</t>
    </r>
    <r>
      <rPr>
        <sz val="12"/>
        <color theme="1"/>
        <rFont val="Calibri"/>
        <family val="2"/>
        <scheme val="minor"/>
      </rPr>
      <t>FF/LF)</t>
    </r>
  </si>
  <si>
    <r>
      <t>Proposed FFS - Existing FFS (</t>
    </r>
    <r>
      <rPr>
        <b/>
        <sz val="12"/>
        <color theme="1"/>
        <rFont val="Grotesque"/>
        <family val="2"/>
      </rPr>
      <t>∆</t>
    </r>
    <r>
      <rPr>
        <b/>
        <sz val="12"/>
        <color theme="1"/>
        <rFont val="Calibri"/>
        <family val="2"/>
      </rPr>
      <t>FF)</t>
    </r>
  </si>
  <si>
    <t>Index Values</t>
  </si>
  <si>
    <t>Field Values</t>
  </si>
  <si>
    <t>As-Built</t>
  </si>
  <si>
    <t>Existing 
Parameter</t>
  </si>
  <si>
    <t>Y = a * X + b</t>
  </si>
  <si>
    <t xml:space="preserve">Coefficients - </t>
  </si>
  <si>
    <t>FAR</t>
  </si>
  <si>
    <t>Pool Depth Ratio for B streams</t>
  </si>
  <si>
    <t>Pool Depth Ratio for C streams</t>
  </si>
  <si>
    <t>Pool Depth Ratio E streams</t>
  </si>
  <si>
    <t>Percent Riffle for B streams</t>
  </si>
  <si>
    <t>Percent Riffle for E streams</t>
  </si>
  <si>
    <t>Percent Riffle for C streams</t>
  </si>
  <si>
    <t>Field &lt; 43</t>
  </si>
  <si>
    <t>Field &gt; 63</t>
  </si>
  <si>
    <t>Field &lt; 45</t>
  </si>
  <si>
    <t>Field &gt; 65</t>
  </si>
  <si>
    <t>Field &gt; 61</t>
  </si>
  <si>
    <t>Field &lt; 53</t>
  </si>
  <si>
    <t xml:space="preserve">Summer Daily Maximum </t>
  </si>
  <si>
    <t>Canopy Cover</t>
  </si>
  <si>
    <t>&lt; 20 %</t>
  </si>
  <si>
    <t>&gt; 20 %</t>
  </si>
  <si>
    <t>Urbanization</t>
  </si>
  <si>
    <t>Existing Condition Score (ECS)</t>
  </si>
  <si>
    <t>Project ID:</t>
  </si>
  <si>
    <t>Version Last Updated:</t>
  </si>
  <si>
    <t>Concentrated Flow</t>
  </si>
  <si>
    <t>Impervious cover</t>
  </si>
  <si>
    <t>Percent Forested</t>
  </si>
  <si>
    <t>Organism Recruitment</t>
  </si>
  <si>
    <t>Inline Watershed Impoundments</t>
  </si>
  <si>
    <t>NPDES Permits</t>
  </si>
  <si>
    <t xml:space="preserve">Agricultural Land Use </t>
  </si>
  <si>
    <t>Sediment Supply</t>
  </si>
  <si>
    <t>≤ 20%</t>
  </si>
  <si>
    <t>≥ 70%</t>
  </si>
  <si>
    <t>&gt;10% and &lt;25%</t>
  </si>
  <si>
    <t xml:space="preserve">Overall Catchment Condition (select:)      </t>
  </si>
  <si>
    <t>12-digit HUC:</t>
  </si>
  <si>
    <t>Silt/Clay</t>
  </si>
  <si>
    <t>Cobble</t>
  </si>
  <si>
    <t>Boulder</t>
  </si>
  <si>
    <t>Bedrock</t>
  </si>
  <si>
    <t>Proposed Canopy Cover (%) at project closeout:</t>
  </si>
  <si>
    <t>Time since as-built (yr)</t>
  </si>
  <si>
    <t>Width/Depth Ratio State</t>
  </si>
  <si>
    <t>Parameter Selection Scenarios</t>
  </si>
  <si>
    <t>Project Description</t>
  </si>
  <si>
    <t>DO NOT EDIT THIS ROW</t>
  </si>
  <si>
    <t>1. Users input values that are highlighted</t>
  </si>
  <si>
    <t>Pool Depth Ratio for A streams</t>
  </si>
  <si>
    <t>Percent Riffle for A streams</t>
  </si>
  <si>
    <t>Field &lt; 54</t>
  </si>
  <si>
    <t>Field &gt; 62</t>
  </si>
  <si>
    <t>Explain the goals and objectives for this reach:</t>
  </si>
  <si>
    <t>Explain the restoration potential of this reach based on the programmatic goals and catchment assessment results:</t>
  </si>
  <si>
    <t>H8</t>
  </si>
  <si>
    <t>C4</t>
  </si>
  <si>
    <t>A few small anthropogenic-caused sediment supply sources. Upstream bank erosion and surface runoff is minimal, as sediment supply is low.</t>
  </si>
  <si>
    <t>Proximity to 303(d) or TMDL listed waters</t>
  </si>
  <si>
    <t>Project reach is not on the 303(d) list.</t>
  </si>
  <si>
    <t>Livestock access to stream and/or intensive cropland immediately upstream of the project reach.</t>
  </si>
  <si>
    <t xml:space="preserve">Agricultural land uses are present in the catchment, but impacts are likely attenuated within the project reach.   </t>
  </si>
  <si>
    <t>Channel immediately upstream or downstream of the project reach (i.e., within 1 km or 0.62 mi) has native bed and bank material.</t>
  </si>
  <si>
    <t>Channel immediately upstream or downstream of the project reach (i.e., within 1 km or 0.62 mi) has native bed and bank material that is highly embedded by fine sediment, but proximate stream reaches support desirable aquatic communities.</t>
  </si>
  <si>
    <t>Channel immediately upstream or downstream of the project reach (i.e., within 1 km or 0.62 mi) is concrete, piped, or hardened.</t>
  </si>
  <si>
    <t>Invasive/Non-native Cover</t>
  </si>
  <si>
    <t>Formulas are of the form: Y = aX + b , where Y is the index value and X is the field value.</t>
  </si>
  <si>
    <t>FAR/NF</t>
  </si>
  <si>
    <t>Pool Spacing Ratio for A and B Stream Types</t>
  </si>
  <si>
    <t>Buffer Width - Single Family Residential</t>
  </si>
  <si>
    <t>Buffer Width - Multi-Family Residential</t>
  </si>
  <si>
    <t>Buffer Width - Commercial / Golf Course / Agriculture / Silviculture</t>
  </si>
  <si>
    <t>Buffer Width - Industrial / Landfill</t>
  </si>
  <si>
    <t>Valley Slope</t>
  </si>
  <si>
    <t>&gt; 40 %</t>
  </si>
  <si>
    <t>&lt; 5 %</t>
  </si>
  <si>
    <t>Buffer Land Use</t>
  </si>
  <si>
    <t>Single Family Residential</t>
  </si>
  <si>
    <t>Multi-Family Residential</t>
  </si>
  <si>
    <t>Commercial / Golf Course / Agriculture / Silviculture</t>
  </si>
  <si>
    <t>Industrial / Landfill</t>
  </si>
  <si>
    <t>Buffer Valley Slope (%):</t>
  </si>
  <si>
    <t>21 - 40 %</t>
  </si>
  <si>
    <t>5 - 20 %</t>
  </si>
  <si>
    <t>Dominant Buffer Land Use:</t>
  </si>
  <si>
    <t>No development or no potential for impacts.</t>
  </si>
  <si>
    <t>The Stream Quantification Tool Credits:</t>
  </si>
  <si>
    <t>Lead Agency:</t>
  </si>
  <si>
    <t>Contributing Agencies:</t>
  </si>
  <si>
    <t>US Forest Service</t>
  </si>
  <si>
    <t>US Army Corps of Engineers</t>
  </si>
  <si>
    <t>US Environmental Protection Agency, Region 5</t>
  </si>
  <si>
    <t>US Fish and Wildlife Service</t>
  </si>
  <si>
    <t>Contractors:</t>
  </si>
  <si>
    <t xml:space="preserve">Stream Mechanics </t>
  </si>
  <si>
    <t xml:space="preserve">Ecosystem Planning and Restoration (EPR) </t>
  </si>
  <si>
    <t>South Carolina Department of Natural Resources</t>
  </si>
  <si>
    <t>Natural Resources Conservation Service</t>
  </si>
  <si>
    <t>South Carolina Forestry Commission</t>
  </si>
  <si>
    <t>South Carolina Department of Health and Environmental Control</t>
  </si>
  <si>
    <t>National Marine Fisheries Service</t>
  </si>
  <si>
    <t>Width/Depth Ratio State (O/E)</t>
  </si>
  <si>
    <t>Percent Riffle (%)</t>
  </si>
  <si>
    <t>Existing concentrated flow/impairments immediately upstream of the project reach with no treatments in place.</t>
  </si>
  <si>
    <t>Potential for concentrated flow/impairments from adjacent land use or channel immediately upstream of the project reach, but measures are in place to protect resources.</t>
  </si>
  <si>
    <t>No potential for concentrated flow/impairments from adjacent land use and/or channel immediately upstream of project reach.</t>
  </si>
  <si>
    <t xml:space="preserve">≤ 10% </t>
  </si>
  <si>
    <t xml:space="preserve">≥ 25% </t>
  </si>
  <si>
    <t>Moderate development or moderate potential for impacts, but none within 1 mile of project reach.</t>
  </si>
  <si>
    <t>High development or potential for impacts in contributing watershed or within 1 mile of project reach, or high potential of impacts &gt;1 mile away from project reach.</t>
  </si>
  <si>
    <t>Multiple, large anthropogenic-caused sources of sediment supply from upstream bank erosion and surface runoff.</t>
  </si>
  <si>
    <t>There is little to no agricultural land uses or  forested buffers exist between the receiving waters and the agriculture land and/or livestock.</t>
  </si>
  <si>
    <t>Many NPDES permits within the catchment or some within 1 mile of the project reach.</t>
  </si>
  <si>
    <t>A few NPDES permits within the catchment and none within 1 mile of the project reach.</t>
  </si>
  <si>
    <t>No NPDES permits within the catchment and none within 1 mile of the project reach.</t>
  </si>
  <si>
    <t>50-80% of contributing stream length (project reach and upstream channel) has &gt;25-m (~82 ft) corridor width.</t>
  </si>
  <si>
    <t>&gt;80% of contributing stream length (project reach and upstream channel) has &gt;25-m (~82 ft) corridor width.</t>
  </si>
  <si>
    <t>Saluda</t>
  </si>
  <si>
    <t>Edisto</t>
  </si>
  <si>
    <t>Salkehatchie</t>
  </si>
  <si>
    <t>Pee Dee</t>
  </si>
  <si>
    <t>Santee</t>
  </si>
  <si>
    <t>Southeastern Plains</t>
  </si>
  <si>
    <t>Monoculture Area (%)</t>
  </si>
  <si>
    <t>Ecoregion:</t>
  </si>
  <si>
    <t>Drainage Area (sq. mi.):</t>
  </si>
  <si>
    <t>Required for all reaches.</t>
  </si>
  <si>
    <t>Index  Value</t>
  </si>
  <si>
    <t>Field  Value</t>
  </si>
  <si>
    <t xml:space="preserve">This sheet provides the formulas used to calculate index values from the field values entered on the Quantification Tool worksheet.  Formulas are fit to known delineations between Functioning (F), Functioning-At-Risk (FAR) and Not Functioning (NF). </t>
  </si>
  <si>
    <t xml:space="preserve">Buffer slope &lt; 5% </t>
  </si>
  <si>
    <t>Buffer slope 5-20%</t>
  </si>
  <si>
    <t xml:space="preserve">Buffer slope 21-40% </t>
  </si>
  <si>
    <t xml:space="preserve">Buffer slope &gt;40% </t>
  </si>
  <si>
    <t>Buffer slope  5 - 20%</t>
  </si>
  <si>
    <t xml:space="preserve">Buffer slope 21 - 40% </t>
  </si>
  <si>
    <t xml:space="preserve">Buffer slope &gt; 40% </t>
  </si>
  <si>
    <t xml:space="preserve">Buffer slope &lt; 5% OR 5 - 20% </t>
  </si>
  <si>
    <t>Both metrics are evaluated together for all streams.</t>
  </si>
  <si>
    <t>Metric Selection Instruction &amp; Applicability</t>
  </si>
  <si>
    <r>
      <rPr>
        <b/>
        <sz val="11"/>
        <color theme="1"/>
        <rFont val="Calibri"/>
        <family val="2"/>
        <scheme val="minor"/>
      </rPr>
      <t>Note:</t>
    </r>
    <r>
      <rPr>
        <sz val="11"/>
        <color theme="1"/>
        <rFont val="Calibri"/>
        <family val="2"/>
        <scheme val="minor"/>
      </rPr>
      <t xml:space="preserve"> Any optional parameter may be required by the regulating agency on a case-by-case basis.</t>
    </r>
  </si>
  <si>
    <t>Metrics</t>
  </si>
  <si>
    <t>Invasive/Non-native Cover (%)</t>
  </si>
  <si>
    <t xml:space="preserve">Buffer width, average DBH, and tree density are always measured. </t>
  </si>
  <si>
    <t>LWD Piece Count (#/100m)</t>
  </si>
  <si>
    <r>
      <t>Nativ</t>
    </r>
    <r>
      <rPr>
        <sz val="11"/>
        <rFont val="Calibri"/>
        <family val="2"/>
        <scheme val="minor"/>
      </rPr>
      <t>e shrub density</t>
    </r>
    <r>
      <rPr>
        <sz val="11"/>
        <color theme="1"/>
        <rFont val="Calibri"/>
        <family val="2"/>
        <scheme val="minor"/>
      </rPr>
      <t xml:space="preserve"> is measured when the native vegetation community is starting over (e.g., the riparian vegetation community is in an early successional stage and canopy cover will be less than 20% at the end of monitoring).</t>
    </r>
  </si>
  <si>
    <t>Bank Height Ratio (ft/ft)</t>
  </si>
  <si>
    <t>Entrenchment Ratio (ft/ft)</t>
  </si>
  <si>
    <t>Pool Spacing Ratio (ft/ft)</t>
  </si>
  <si>
    <t>Pool Depth Ratio (ft/ft)</t>
  </si>
  <si>
    <t>Percent Riffle (ft/ft)</t>
  </si>
  <si>
    <t>Summer Daily Maximum (°F)</t>
  </si>
  <si>
    <t>Native herbaceous cover is only applicable for project sites with present or proposed Piedmont prairie vegetation community restoration.</t>
  </si>
  <si>
    <t>Blue Ridge Mountains</t>
  </si>
  <si>
    <t>Project reach on, upstream, or downstream of a 303(d) waterway without a TMDL/watershed management plan to address deficiencies.</t>
  </si>
  <si>
    <t>Project reach on, upstream, or downstream of a 303(d) waterway with a TMDL/ watershed management plan addressing deficiencies.</t>
  </si>
  <si>
    <t>A few small impoundments within the catchment and none within one mile of the project reach.</t>
  </si>
  <si>
    <t>Some urban growth potential, or uncertain growth potential. May consist of single family homes/suburban.</t>
  </si>
  <si>
    <t>Rural communities/slow growth potential, or primarily forested.</t>
  </si>
  <si>
    <t>Rapidly urbanizing/urban.</t>
  </si>
  <si>
    <t>&lt;50% of contributing stream length (project reach and upstream channel) has &gt;25-m (~82 ft) corridor width.</t>
  </si>
  <si>
    <t>Impoundment(s) are located near the project area (within 1 mile upstream or downstream), and/or impoundment(s) within the catchment have a negative effect on project area (e.g., flow alteration or reduced sediment supply) and fish passage.</t>
  </si>
  <si>
    <t>No impoundment (including farm ponds) upstream or downstream of project area OR only natural impoundments that allow for fish passage.</t>
  </si>
  <si>
    <t xml:space="preserve">Monoculture area is only applicable when a monoculture (e.g., silviculture) is present or proposed in the project area. </t>
  </si>
  <si>
    <t>Parameter and Metric Selection</t>
  </si>
  <si>
    <r>
      <t xml:space="preserve">Invasive/non-native cover is applicable to all projects but is not scored; </t>
    </r>
    <r>
      <rPr>
        <b/>
        <sz val="11"/>
        <color theme="1"/>
        <rFont val="Calibri"/>
        <family val="2"/>
        <scheme val="minor"/>
      </rPr>
      <t>it is only present in the monitoring table of the SQT for tracking of field values.</t>
    </r>
  </si>
  <si>
    <t>Measure either LWDI or LWD Piece Count, not both, for all streams.</t>
  </si>
  <si>
    <t>VL/VL</t>
  </si>
  <si>
    <t>VL/L</t>
  </si>
  <si>
    <t>VL/M</t>
  </si>
  <si>
    <t>VL/H</t>
  </si>
  <si>
    <t>VL/VH</t>
  </si>
  <si>
    <t>VL/Ex</t>
  </si>
  <si>
    <t xml:space="preserve">Required for all reaches. However, these metrics should not be assessed for systems naturally in disequilibrium (e.g., some braided streams, ephemeral channels, and alluvial fans or other systems with naturally high rates of bank erosion). </t>
  </si>
  <si>
    <t>Bioassessment Class</t>
  </si>
  <si>
    <t>EPT Taxa Present - Blue Ridge Mountains</t>
  </si>
  <si>
    <t>EPT Taxa Present - Piedmont</t>
  </si>
  <si>
    <t>SC BI Score - Bioassessment Class 2</t>
  </si>
  <si>
    <t>SC BI Score - Bioassessment Class 1</t>
  </si>
  <si>
    <t>SC BI Score - Bioassessment Class 3</t>
  </si>
  <si>
    <t>SC BI Score - Bioassessment Class 4</t>
  </si>
  <si>
    <t>Impounded</t>
  </si>
  <si>
    <t>South Carolina Biotic Index</t>
  </si>
  <si>
    <t>Fish Bioassessment Class:</t>
  </si>
  <si>
    <t>2 - Upland Savannah</t>
  </si>
  <si>
    <t>3 - Lowland Perennial</t>
  </si>
  <si>
    <t>4 - Lowland Stable Baseflow</t>
  </si>
  <si>
    <t>1 - Upland Santee/Pee-Dee Basin</t>
  </si>
  <si>
    <t>E. Coli (MPN/100 ml)</t>
  </si>
  <si>
    <t>Suspended Sediment</t>
  </si>
  <si>
    <t>TSS and Turbidity</t>
  </si>
  <si>
    <t>Turbidity (NTU)</t>
  </si>
  <si>
    <t>Preservation (Y/N):</t>
  </si>
  <si>
    <t>Middle Atlantic Coastal Plain</t>
  </si>
  <si>
    <t>EPT Taxa Present - Southeastern Plains and Middle Atlantic Coastal Plain</t>
  </si>
  <si>
    <t>Calculated threshold field values from trendline</t>
  </si>
  <si>
    <t>FAR/F</t>
  </si>
  <si>
    <t>Development Activities (e.g. utility rights-of-way, pipeline, mining, silviculture, roads)</t>
  </si>
  <si>
    <r>
      <t xml:space="preserve">The following table is provided to assist project owners, regulators, and practitioners in selecting the appropriate parameters and metrics for each stream reach. All parameters and metrics would rarely, if ever, be used for a single reach. The scenarios below describe when each parameter and metric is required or when it could be used. Note, the same parameters and metrics must be assessed for the </t>
    </r>
    <r>
      <rPr>
        <b/>
        <sz val="11"/>
        <color theme="1"/>
        <rFont val="Calibri"/>
        <family val="2"/>
        <scheme val="minor"/>
      </rPr>
      <t>existing and proposed condition</t>
    </r>
    <r>
      <rPr>
        <sz val="11"/>
        <color theme="1"/>
        <rFont val="Calibri"/>
        <family val="2"/>
        <scheme val="minor"/>
      </rPr>
      <t xml:space="preserve">. </t>
    </r>
    <r>
      <rPr>
        <b/>
        <sz val="11"/>
        <color theme="1"/>
        <rFont val="Calibri"/>
        <family val="2"/>
        <scheme val="minor"/>
      </rPr>
      <t xml:space="preserve">Unless otherwise noted, all metrics used to describe a parameter should be assessed. </t>
    </r>
  </si>
  <si>
    <t>Concentrated Flow Points (#/1,000ft)</t>
  </si>
  <si>
    <t xml:space="preserve">Use all three metrics together in single-thread, perennial and intermittent streams. </t>
  </si>
  <si>
    <t>Total Suspended Solids (mg/L)</t>
  </si>
  <si>
    <t>E.Coli (MPN/100ml)</t>
  </si>
  <si>
    <t>H9</t>
  </si>
  <si>
    <t>H17</t>
  </si>
  <si>
    <t>Version 1.1</t>
  </si>
  <si>
    <t xml:space="preserve">Optional. Recommended for stream projects with goals and objectives related to biological functions or where watershed conditions suggest that uplift is possible. It is recommended to assess both fish and macroinvertebrates together. </t>
  </si>
  <si>
    <t>Applicable to perennial Coldwater streams.</t>
  </si>
  <si>
    <t>Applicable to perennial streams.</t>
  </si>
  <si>
    <t>Measure either TSS or Turbidity, not both, for perennial streams.</t>
  </si>
  <si>
    <t>Optional. Recommended for stream projects with goals and objectives related to physicochemical functions or where watershed conditions suggest that uplift is possible.
At a minimum, suspended sediment must be measured for streams proposing biological monitoring/lift.</t>
  </si>
  <si>
    <t>Applicable to perennial streams with a drainage area of at least 3 square miles.</t>
  </si>
  <si>
    <t>Applicable to perennial streams with drainage areas between 1.5 and 63 square miles.</t>
  </si>
  <si>
    <t>Users must evaluate the dominant BEHI/NBS and percent streambank erosion metrics together. Percent streambank erosion and dominant BEHI/NBS are applicable to single-thread channels only. The erosion rate metric can be measured in substitute of dominant BEHI/NBS and percent streambank erosion. 
Percent streambank armoring is measured in addition to the other metrics when armoring is present or proposed.</t>
  </si>
  <si>
    <t>Bank height ratio is applicable to all stream systems. Entrenchment ratio is applicable to all single-thread, perennial and intermittent stream systems.</t>
  </si>
  <si>
    <t>Applicable to single-thread, perennial and intermittent stream systems.</t>
  </si>
  <si>
    <t>Required for all reaches except multi-thread channels, bedrock dominated, or naturally straight sand-bed channels where the bedforms are created by large wood.</t>
  </si>
  <si>
    <t>Required for all reaches when applicable.</t>
  </si>
  <si>
    <t>Describe how any categories rated as poor were considered in the selection of the restoration potential of the reach(es):</t>
  </si>
  <si>
    <t>Macro- invertebrates</t>
  </si>
  <si>
    <t>Site Information and 
Reference Curve Stratification</t>
  </si>
  <si>
    <t>Quantification_Tool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</si>
</sst>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000"/>
    <numFmt numFmtId="166" formatCode="0.000"/>
  </numFmts>
  <fonts count="25" x14ac:knownFonts="1">
    <font>
      <sz val="11"/>
      <color theme="1"/>
      <name val="Calibri"/>
      <family val="2"/>
      <scheme val="minor"/>
    </font>
    <font>
      <b/>
      <sz val="11"/>
      <color theme="1"/>
      <name val="Calibri"/>
      <family val="2"/>
      <scheme val="minor"/>
    </font>
    <font>
      <sz val="9"/>
      <color indexed="81"/>
      <name val="Tahoma"/>
      <family val="2"/>
    </font>
    <font>
      <sz val="10"/>
      <name val="Arial"/>
      <family val="2"/>
    </font>
    <font>
      <b/>
      <sz val="13"/>
      <color theme="1"/>
      <name val="Calibri"/>
      <family val="2"/>
      <scheme val="minor"/>
    </font>
    <font>
      <b/>
      <sz val="15"/>
      <color theme="1"/>
      <name val="Calibri"/>
      <family val="2"/>
      <scheme val="minor"/>
    </font>
    <font>
      <sz val="11"/>
      <name val="Calibri"/>
      <family val="2"/>
      <scheme val="minor"/>
    </font>
    <font>
      <b/>
      <sz val="14"/>
      <color theme="1"/>
      <name val="Calibri"/>
      <family val="2"/>
      <scheme val="minor"/>
    </font>
    <font>
      <b/>
      <sz val="16"/>
      <color theme="1"/>
      <name val="Calibri"/>
      <family val="2"/>
      <scheme val="minor"/>
    </font>
    <font>
      <sz val="12"/>
      <color theme="1"/>
      <name val="Calibri"/>
      <family val="2"/>
      <scheme val="minor"/>
    </font>
    <font>
      <b/>
      <sz val="12"/>
      <color theme="1"/>
      <name val="Calibri"/>
      <family val="2"/>
      <scheme val="minor"/>
    </font>
    <font>
      <sz val="12"/>
      <name val="Calibri"/>
      <family val="2"/>
      <scheme val="minor"/>
    </font>
    <font>
      <sz val="11"/>
      <color theme="1"/>
      <name val="Calibri"/>
      <family val="2"/>
      <scheme val="minor"/>
    </font>
    <font>
      <sz val="11"/>
      <color rgb="FF000000"/>
      <name val="Calibri"/>
      <family val="2"/>
      <scheme val="minor"/>
    </font>
    <font>
      <b/>
      <sz val="11"/>
      <color theme="1"/>
      <name val="Grotesque"/>
      <family val="2"/>
    </font>
    <font>
      <sz val="12"/>
      <color theme="1"/>
      <name val="Grotesque"/>
      <family val="2"/>
    </font>
    <font>
      <b/>
      <sz val="12"/>
      <color theme="1"/>
      <name val="Grotesque"/>
      <family val="2"/>
    </font>
    <font>
      <b/>
      <sz val="12"/>
      <color theme="1"/>
      <name val="Calibri"/>
      <family val="2"/>
    </font>
    <font>
      <sz val="8"/>
      <name val="Calibri"/>
      <family val="2"/>
      <scheme val="minor"/>
    </font>
    <font>
      <sz val="11"/>
      <color theme="1"/>
      <name val="Arial"/>
      <family val="2"/>
    </font>
    <font>
      <b/>
      <sz val="11"/>
      <color rgb="FFFF0000"/>
      <name val="Calibri"/>
      <family val="2"/>
      <scheme val="minor"/>
    </font>
    <font>
      <b/>
      <sz val="15"/>
      <name val="Calibri"/>
      <family val="2"/>
      <scheme val="minor"/>
    </font>
    <font>
      <b/>
      <sz val="11"/>
      <name val="Calibri"/>
      <family val="2"/>
      <scheme val="minor"/>
    </font>
    <font>
      <sz val="13"/>
      <name val="Calibri"/>
      <family val="2"/>
      <scheme val="minor"/>
    </font>
    <font>
      <sz val="10"/>
      <name val="Calibri"/>
      <family val="2"/>
      <scheme val="minor"/>
    </font>
  </fonts>
  <fills count="14">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5" tint="0.79998168889431442"/>
        <bgColor indexed="64"/>
      </patternFill>
    </fill>
    <fill>
      <patternFill patternType="solid">
        <fgColor theme="9" tint="0.59999389629810485"/>
        <bgColor indexed="64"/>
      </patternFill>
    </fill>
    <fill>
      <patternFill patternType="solid">
        <fgColor theme="2" tint="-9.9978637043366805E-2"/>
        <bgColor indexed="64"/>
      </patternFill>
    </fill>
    <fill>
      <patternFill patternType="solid">
        <fgColor theme="4" tint="0.59999389629810485"/>
        <bgColor indexed="65"/>
      </patternFill>
    </fill>
    <fill>
      <patternFill patternType="solid">
        <fgColor theme="0"/>
        <bgColor indexed="64"/>
      </patternFill>
    </fill>
    <fill>
      <patternFill patternType="solid">
        <fgColor theme="8" tint="0.79998168889431442"/>
        <bgColor indexed="64"/>
      </patternFill>
    </fill>
    <fill>
      <patternFill patternType="solid">
        <fgColor rgb="FFFF7C80"/>
        <bgColor indexed="64"/>
      </patternFill>
    </fill>
  </fills>
  <borders count="37">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style="hair">
        <color indexed="64"/>
      </left>
      <right style="hair">
        <color indexed="64"/>
      </right>
      <top style="medium">
        <color indexed="64"/>
      </top>
      <bottom style="medium">
        <color indexed="64"/>
      </bottom>
      <diagonal/>
    </border>
    <border>
      <left style="hair">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bottom/>
      <diagonal/>
    </border>
    <border>
      <left/>
      <right style="thin">
        <color indexed="64"/>
      </right>
      <top/>
      <bottom/>
      <diagonal/>
    </border>
    <border>
      <left style="thin">
        <color indexed="64"/>
      </left>
      <right style="medium">
        <color indexed="64"/>
      </right>
      <top/>
      <bottom style="medium">
        <color indexed="64"/>
      </bottom>
      <diagonal/>
    </border>
    <border>
      <left style="thin">
        <color indexed="64"/>
      </left>
      <right style="medium">
        <color indexed="64"/>
      </right>
      <top/>
      <bottom/>
      <diagonal/>
    </border>
    <border>
      <left style="thin">
        <color indexed="64"/>
      </left>
      <right style="medium">
        <color indexed="64"/>
      </right>
      <top style="medium">
        <color indexed="64"/>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top style="thin">
        <color indexed="64"/>
      </top>
      <bottom/>
      <diagonal/>
    </border>
    <border>
      <left style="medium">
        <color indexed="64"/>
      </left>
      <right/>
      <top/>
      <bottom/>
      <diagonal/>
    </border>
    <border>
      <left/>
      <right style="medium">
        <color indexed="64"/>
      </right>
      <top/>
      <bottom/>
      <diagonal/>
    </border>
    <border>
      <left style="hair">
        <color indexed="64"/>
      </left>
      <right style="hair">
        <color indexed="64"/>
      </right>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s>
  <cellStyleXfs count="4">
    <xf numFmtId="0" fontId="0" fillId="0" borderId="0"/>
    <xf numFmtId="0" fontId="3" fillId="0" borderId="0"/>
    <xf numFmtId="9" fontId="12" fillId="0" borderId="0" applyFont="0" applyFill="0" applyBorder="0" applyAlignment="0" applyProtection="0"/>
    <xf numFmtId="0" fontId="12" fillId="10" borderId="0" applyNumberFormat="0" applyBorder="0" applyAlignment="0" applyProtection="0"/>
  </cellStyleXfs>
  <cellXfs count="594">
    <xf numFmtId="0" fontId="0" fillId="0" borderId="0" xfId="0"/>
    <xf numFmtId="0" fontId="0" fillId="0" borderId="0" xfId="0" applyFill="1" applyBorder="1"/>
    <xf numFmtId="0" fontId="0" fillId="0" borderId="0" xfId="0" applyFill="1" applyBorder="1" applyAlignment="1">
      <alignment vertical="center" wrapText="1"/>
    </xf>
    <xf numFmtId="0" fontId="1" fillId="0" borderId="0" xfId="0" applyFont="1" applyAlignment="1"/>
    <xf numFmtId="0" fontId="0" fillId="0" borderId="1" xfId="0" applyBorder="1" applyAlignment="1">
      <alignment vertical="center" wrapText="1"/>
    </xf>
    <xf numFmtId="0" fontId="0" fillId="0" borderId="2" xfId="0" applyBorder="1" applyAlignment="1">
      <alignment vertical="center" wrapText="1"/>
    </xf>
    <xf numFmtId="0" fontId="0" fillId="0" borderId="3" xfId="0" applyBorder="1" applyAlignment="1">
      <alignment vertical="center" wrapText="1"/>
    </xf>
    <xf numFmtId="0" fontId="0" fillId="0" borderId="4" xfId="0" applyBorder="1" applyAlignment="1">
      <alignment vertical="center" wrapText="1"/>
    </xf>
    <xf numFmtId="0" fontId="0" fillId="0" borderId="0" xfId="0" applyFill="1" applyAlignment="1">
      <alignment horizontal="center"/>
    </xf>
    <xf numFmtId="0" fontId="0" fillId="0" borderId="0" xfId="0" applyFill="1"/>
    <xf numFmtId="0" fontId="0" fillId="0" borderId="0" xfId="0"/>
    <xf numFmtId="0" fontId="1" fillId="0" borderId="0" xfId="0" applyFont="1"/>
    <xf numFmtId="0" fontId="0" fillId="0" borderId="0" xfId="0" applyAlignment="1">
      <alignment vertical="center"/>
    </xf>
    <xf numFmtId="0" fontId="0" fillId="0" borderId="0" xfId="0" applyFill="1" applyBorder="1" applyAlignment="1">
      <alignment vertical="center"/>
    </xf>
    <xf numFmtId="0" fontId="0" fillId="0" borderId="0" xfId="0" applyBorder="1" applyAlignment="1">
      <alignment horizontal="center"/>
    </xf>
    <xf numFmtId="2" fontId="0" fillId="0" borderId="0" xfId="0" applyNumberFormat="1"/>
    <xf numFmtId="0" fontId="0" fillId="0" borderId="2" xfId="0" applyFill="1" applyBorder="1" applyAlignment="1">
      <alignment vertical="center" wrapText="1"/>
    </xf>
    <xf numFmtId="0" fontId="0" fillId="0" borderId="0" xfId="0" applyBorder="1"/>
    <xf numFmtId="0" fontId="1" fillId="0" borderId="0" xfId="0" applyFont="1" applyBorder="1" applyAlignment="1"/>
    <xf numFmtId="0" fontId="0" fillId="0" borderId="0" xfId="0" applyBorder="1" applyAlignment="1">
      <alignment vertical="center" wrapText="1"/>
    </xf>
    <xf numFmtId="0" fontId="0" fillId="0" borderId="32" xfId="0" applyBorder="1" applyAlignment="1">
      <alignment vertical="center" wrapText="1"/>
    </xf>
    <xf numFmtId="0" fontId="6" fillId="0" borderId="2" xfId="0" applyFont="1" applyBorder="1" applyAlignment="1">
      <alignment vertical="center" wrapText="1"/>
    </xf>
    <xf numFmtId="0" fontId="0" fillId="8" borderId="7" xfId="0" applyFill="1" applyBorder="1" applyAlignment="1">
      <alignment horizontal="left" vertical="center"/>
    </xf>
    <xf numFmtId="0" fontId="9" fillId="4" borderId="7" xfId="0" applyFont="1" applyFill="1" applyBorder="1" applyAlignment="1" applyProtection="1">
      <alignment horizontal="center"/>
      <protection locked="0"/>
    </xf>
    <xf numFmtId="2" fontId="9" fillId="0" borderId="7" xfId="0" applyNumberFormat="1" applyFont="1" applyBorder="1" applyAlignment="1" applyProtection="1">
      <alignment horizontal="center" vertical="center"/>
    </xf>
    <xf numFmtId="1" fontId="9" fillId="0" borderId="7" xfId="0" applyNumberFormat="1" applyFont="1" applyBorder="1" applyAlignment="1" applyProtection="1">
      <alignment horizontal="center"/>
    </xf>
    <xf numFmtId="0" fontId="9" fillId="0" borderId="7" xfId="0" applyFont="1" applyBorder="1" applyAlignment="1">
      <alignment horizontal="center"/>
    </xf>
    <xf numFmtId="2" fontId="9" fillId="0" borderId="7" xfId="0" applyNumberFormat="1" applyFont="1" applyBorder="1" applyAlignment="1">
      <alignment horizontal="center"/>
    </xf>
    <xf numFmtId="0" fontId="9" fillId="5" borderId="26" xfId="0" applyFont="1" applyFill="1" applyBorder="1"/>
    <xf numFmtId="0" fontId="9" fillId="6" borderId="0" xfId="0" applyFont="1" applyFill="1" applyBorder="1"/>
    <xf numFmtId="0" fontId="9" fillId="6" borderId="26" xfId="0" applyFont="1" applyFill="1" applyBorder="1"/>
    <xf numFmtId="0" fontId="9" fillId="7" borderId="0" xfId="0" applyFont="1" applyFill="1" applyBorder="1"/>
    <xf numFmtId="0" fontId="11" fillId="7" borderId="0" xfId="0" applyFont="1" applyFill="1" applyBorder="1"/>
    <xf numFmtId="0" fontId="9" fillId="7" borderId="17" xfId="0" applyFont="1" applyFill="1" applyBorder="1"/>
    <xf numFmtId="0" fontId="9" fillId="7" borderId="21" xfId="0" applyFont="1" applyFill="1" applyBorder="1"/>
    <xf numFmtId="0" fontId="9" fillId="7" borderId="27" xfId="0" applyFont="1" applyFill="1" applyBorder="1"/>
    <xf numFmtId="0" fontId="9" fillId="7" borderId="30" xfId="0" applyFont="1" applyFill="1" applyBorder="1"/>
    <xf numFmtId="0" fontId="9" fillId="7" borderId="26" xfId="0" applyFont="1" applyFill="1" applyBorder="1"/>
    <xf numFmtId="0" fontId="9" fillId="8" borderId="26" xfId="0" applyFont="1" applyFill="1" applyBorder="1"/>
    <xf numFmtId="0" fontId="0" fillId="0" borderId="0" xfId="0" applyFill="1" applyAlignment="1">
      <alignment vertical="center"/>
    </xf>
    <xf numFmtId="0" fontId="9" fillId="5" borderId="7" xfId="0" applyFont="1" applyFill="1" applyBorder="1" applyAlignment="1">
      <alignment horizontal="left"/>
    </xf>
    <xf numFmtId="0" fontId="9" fillId="6" borderId="7" xfId="0" applyFont="1" applyFill="1" applyBorder="1" applyAlignment="1">
      <alignment horizontal="left"/>
    </xf>
    <xf numFmtId="0" fontId="9" fillId="7" borderId="7" xfId="0" applyFont="1" applyFill="1" applyBorder="1" applyAlignment="1">
      <alignment horizontal="left"/>
    </xf>
    <xf numFmtId="0" fontId="9" fillId="3" borderId="7" xfId="0" applyFont="1" applyFill="1" applyBorder="1" applyAlignment="1">
      <alignment horizontal="left"/>
    </xf>
    <xf numFmtId="0" fontId="9" fillId="8" borderId="7" xfId="0" applyFont="1" applyFill="1" applyBorder="1" applyAlignment="1">
      <alignment horizontal="left"/>
    </xf>
    <xf numFmtId="164" fontId="0" fillId="0" borderId="2" xfId="0" applyNumberFormat="1" applyBorder="1" applyAlignment="1">
      <alignment vertical="center" wrapText="1"/>
    </xf>
    <xf numFmtId="2" fontId="9" fillId="8" borderId="7" xfId="0" applyNumberFormat="1" applyFont="1" applyFill="1" applyBorder="1" applyAlignment="1">
      <alignment horizontal="center"/>
    </xf>
    <xf numFmtId="2" fontId="9" fillId="7" borderId="29" xfId="0" applyNumberFormat="1" applyFont="1" applyFill="1" applyBorder="1" applyAlignment="1">
      <alignment horizontal="center"/>
    </xf>
    <xf numFmtId="0" fontId="0" fillId="0" borderId="0" xfId="0" applyAlignment="1"/>
    <xf numFmtId="1" fontId="0" fillId="0" borderId="2" xfId="0" applyNumberFormat="1" applyBorder="1" applyAlignment="1">
      <alignment vertical="center" wrapText="1"/>
    </xf>
    <xf numFmtId="0" fontId="0" fillId="0" borderId="0" xfId="0" applyAlignment="1">
      <alignment horizontal="center"/>
    </xf>
    <xf numFmtId="0" fontId="0" fillId="0" borderId="0" xfId="0" applyAlignment="1">
      <alignment horizontal="left"/>
    </xf>
    <xf numFmtId="0" fontId="0" fillId="0" borderId="0" xfId="0" applyFill="1" applyBorder="1" applyAlignment="1"/>
    <xf numFmtId="0" fontId="0" fillId="0" borderId="0" xfId="0" applyBorder="1" applyAlignment="1">
      <alignment vertical="center"/>
    </xf>
    <xf numFmtId="0" fontId="0" fillId="0" borderId="0" xfId="0" applyFill="1" applyBorder="1" applyAlignment="1">
      <alignment horizontal="center"/>
    </xf>
    <xf numFmtId="0" fontId="0" fillId="0" borderId="0" xfId="0" applyFont="1" applyFill="1"/>
    <xf numFmtId="0" fontId="0" fillId="0" borderId="0" xfId="0" applyFont="1" applyFill="1" applyAlignment="1">
      <alignment horizontal="center"/>
    </xf>
    <xf numFmtId="0" fontId="1" fillId="0" borderId="0" xfId="0" applyFont="1" applyFill="1"/>
    <xf numFmtId="0" fontId="0" fillId="0" borderId="0" xfId="0" applyFont="1" applyFill="1" applyAlignment="1">
      <alignment vertical="center"/>
    </xf>
    <xf numFmtId="0" fontId="0" fillId="0" borderId="0" xfId="0" applyFont="1" applyFill="1" applyBorder="1" applyAlignment="1">
      <alignment horizontal="center"/>
    </xf>
    <xf numFmtId="0" fontId="0" fillId="0" borderId="0" xfId="0" applyFill="1" applyAlignment="1">
      <alignment horizontal="center"/>
    </xf>
    <xf numFmtId="1" fontId="0" fillId="0" borderId="0" xfId="0" applyNumberFormat="1" applyBorder="1" applyAlignment="1">
      <alignment vertical="center" wrapText="1"/>
    </xf>
    <xf numFmtId="1" fontId="0" fillId="0" borderId="0" xfId="0" applyNumberFormat="1" applyBorder="1"/>
    <xf numFmtId="2" fontId="0" fillId="0" borderId="0" xfId="0" applyNumberFormat="1" applyBorder="1"/>
    <xf numFmtId="2" fontId="6" fillId="0" borderId="2" xfId="0" applyNumberFormat="1" applyFont="1" applyBorder="1" applyAlignment="1">
      <alignment vertical="center" wrapText="1"/>
    </xf>
    <xf numFmtId="0" fontId="0" fillId="0" borderId="0" xfId="0" applyFill="1" applyAlignment="1">
      <alignment horizontal="center"/>
    </xf>
    <xf numFmtId="2" fontId="9" fillId="0" borderId="7" xfId="2" applyNumberFormat="1" applyFont="1" applyBorder="1" applyAlignment="1">
      <alignment horizontal="center"/>
    </xf>
    <xf numFmtId="0" fontId="0" fillId="0" borderId="0" xfId="0" applyBorder="1" applyAlignment="1"/>
    <xf numFmtId="2" fontId="9" fillId="0" borderId="0" xfId="0" applyNumberFormat="1" applyFont="1" applyBorder="1" applyAlignment="1">
      <alignment horizontal="center"/>
    </xf>
    <xf numFmtId="2" fontId="0" fillId="0" borderId="2" xfId="0" applyNumberFormat="1" applyBorder="1" applyAlignment="1">
      <alignment vertical="center" wrapText="1"/>
    </xf>
    <xf numFmtId="2" fontId="0" fillId="0" borderId="3" xfId="0" applyNumberFormat="1" applyBorder="1" applyAlignment="1">
      <alignment vertical="center" wrapText="1"/>
    </xf>
    <xf numFmtId="0" fontId="0" fillId="0" borderId="0" xfId="0" applyFill="1" applyAlignment="1">
      <alignment horizontal="center"/>
    </xf>
    <xf numFmtId="0" fontId="0" fillId="0" borderId="0" xfId="0" applyFill="1" applyBorder="1" applyAlignment="1">
      <alignment horizontal="center"/>
    </xf>
    <xf numFmtId="0" fontId="0" fillId="0" borderId="0" xfId="0" applyFill="1" applyBorder="1" applyAlignment="1">
      <alignment horizontal="center"/>
    </xf>
    <xf numFmtId="0" fontId="0" fillId="0" borderId="31" xfId="0" applyBorder="1" applyAlignment="1">
      <alignment vertical="center" wrapText="1"/>
    </xf>
    <xf numFmtId="0" fontId="0" fillId="0" borderId="3" xfId="0" applyFill="1" applyBorder="1" applyAlignment="1">
      <alignment vertical="center" wrapText="1"/>
    </xf>
    <xf numFmtId="164" fontId="0" fillId="0" borderId="0" xfId="0" applyNumberFormat="1" applyFill="1" applyBorder="1" applyAlignment="1">
      <alignment vertical="center" wrapText="1"/>
    </xf>
    <xf numFmtId="0" fontId="5" fillId="0" borderId="0" xfId="0" applyFont="1" applyAlignment="1">
      <alignment vertical="center"/>
    </xf>
    <xf numFmtId="0" fontId="0" fillId="0" borderId="2" xfId="0" applyBorder="1"/>
    <xf numFmtId="166" fontId="0" fillId="0" borderId="2" xfId="0" applyNumberFormat="1" applyBorder="1" applyAlignment="1">
      <alignment vertical="center" wrapText="1"/>
    </xf>
    <xf numFmtId="0" fontId="0" fillId="0" borderId="32" xfId="0" applyFill="1" applyBorder="1" applyAlignment="1">
      <alignment vertical="center" wrapText="1"/>
    </xf>
    <xf numFmtId="0" fontId="0" fillId="0" borderId="0" xfId="0" applyFill="1" applyAlignment="1"/>
    <xf numFmtId="0" fontId="9" fillId="4" borderId="8" xfId="0" applyFont="1" applyFill="1" applyBorder="1" applyAlignment="1" applyProtection="1">
      <alignment horizontal="center"/>
      <protection locked="0"/>
    </xf>
    <xf numFmtId="2" fontId="9" fillId="5" borderId="26" xfId="0" applyNumberFormat="1" applyFont="1" applyFill="1" applyBorder="1" applyAlignment="1">
      <alignment horizontal="center"/>
    </xf>
    <xf numFmtId="0" fontId="9" fillId="5" borderId="30" xfId="0" applyFont="1" applyFill="1" applyBorder="1"/>
    <xf numFmtId="0" fontId="9" fillId="5" borderId="17" xfId="0" applyFont="1" applyFill="1" applyBorder="1"/>
    <xf numFmtId="0" fontId="9" fillId="5" borderId="27" xfId="0" applyFont="1" applyFill="1" applyBorder="1"/>
    <xf numFmtId="0" fontId="0" fillId="0" borderId="32" xfId="0" applyBorder="1"/>
    <xf numFmtId="0" fontId="9" fillId="4" borderId="29" xfId="0" applyFont="1" applyFill="1" applyBorder="1" applyAlignment="1" applyProtection="1">
      <alignment horizontal="center"/>
      <protection locked="0"/>
    </xf>
    <xf numFmtId="0" fontId="9" fillId="4" borderId="9" xfId="0" applyFont="1" applyFill="1" applyBorder="1" applyAlignment="1" applyProtection="1">
      <alignment horizontal="center"/>
      <protection locked="0"/>
    </xf>
    <xf numFmtId="0" fontId="0" fillId="0" borderId="0" xfId="0" applyFill="1" applyAlignment="1">
      <alignment horizontal="center"/>
    </xf>
    <xf numFmtId="0" fontId="9" fillId="7" borderId="28" xfId="0" applyFont="1" applyFill="1" applyBorder="1"/>
    <xf numFmtId="0" fontId="9" fillId="7" borderId="16" xfId="0" applyFont="1" applyFill="1" applyBorder="1"/>
    <xf numFmtId="0" fontId="1" fillId="0" borderId="0" xfId="0" applyFont="1" applyBorder="1"/>
    <xf numFmtId="0" fontId="1" fillId="0" borderId="0" xfId="0" applyFont="1" applyFill="1" applyBorder="1"/>
    <xf numFmtId="0" fontId="0" fillId="0" borderId="0" xfId="0" applyFill="1" applyAlignment="1">
      <alignment horizontal="center"/>
    </xf>
    <xf numFmtId="0" fontId="0" fillId="0" borderId="2" xfId="0" applyBorder="1" applyAlignment="1"/>
    <xf numFmtId="0" fontId="0" fillId="0" borderId="2" xfId="0" applyBorder="1" applyAlignment="1">
      <alignment horizontal="left"/>
    </xf>
    <xf numFmtId="0" fontId="0" fillId="0" borderId="2" xfId="0" applyFill="1" applyBorder="1" applyAlignment="1"/>
    <xf numFmtId="0" fontId="0" fillId="0" borderId="0" xfId="0" applyBorder="1" applyAlignment="1">
      <alignment horizontal="left"/>
    </xf>
    <xf numFmtId="0" fontId="0" fillId="0" borderId="2" xfId="3" applyFont="1" applyFill="1" applyBorder="1" applyAlignment="1">
      <alignment horizontal="right" vertical="center"/>
    </xf>
    <xf numFmtId="1" fontId="0" fillId="0" borderId="2" xfId="0" applyNumberFormat="1" applyBorder="1"/>
    <xf numFmtId="0" fontId="0" fillId="0" borderId="0" xfId="0" applyAlignment="1">
      <alignment horizontal="center"/>
    </xf>
    <xf numFmtId="0" fontId="12" fillId="0" borderId="0" xfId="0" applyFont="1"/>
    <xf numFmtId="0" fontId="12" fillId="0" borderId="2" xfId="0" applyFont="1" applyBorder="1"/>
    <xf numFmtId="0" fontId="12" fillId="0" borderId="3" xfId="0" applyFont="1" applyBorder="1"/>
    <xf numFmtId="0" fontId="12" fillId="0" borderId="0" xfId="0" applyFont="1" applyAlignment="1">
      <alignment wrapText="1"/>
    </xf>
    <xf numFmtId="0" fontId="12" fillId="0" borderId="0" xfId="0" applyFont="1" applyAlignment="1">
      <alignment horizontal="center"/>
    </xf>
    <xf numFmtId="0" fontId="0" fillId="0" borderId="0" xfId="0" applyAlignment="1">
      <alignment horizontal="center"/>
    </xf>
    <xf numFmtId="0" fontId="13" fillId="0" borderId="0" xfId="0" applyFont="1"/>
    <xf numFmtId="165" fontId="13" fillId="0" borderId="0" xfId="0" applyNumberFormat="1" applyFont="1"/>
    <xf numFmtId="0" fontId="0" fillId="0" borderId="0" xfId="0" applyFill="1" applyAlignment="1">
      <alignment horizontal="center"/>
    </xf>
    <xf numFmtId="0" fontId="0" fillId="0" borderId="0" xfId="0" applyFill="1" applyAlignment="1">
      <alignment horizontal="center"/>
    </xf>
    <xf numFmtId="0" fontId="9" fillId="7" borderId="22" xfId="0" applyFont="1" applyFill="1" applyBorder="1"/>
    <xf numFmtId="0" fontId="9" fillId="5" borderId="9" xfId="0" applyFont="1" applyFill="1" applyBorder="1" applyAlignment="1">
      <alignment horizontal="center" vertical="center"/>
    </xf>
    <xf numFmtId="2" fontId="9" fillId="6" borderId="8" xfId="0" applyNumberFormat="1" applyFont="1" applyFill="1" applyBorder="1" applyAlignment="1">
      <alignment horizontal="center"/>
    </xf>
    <xf numFmtId="2" fontId="9" fillId="7" borderId="30" xfId="0" applyNumberFormat="1" applyFont="1" applyFill="1" applyBorder="1" applyAlignment="1">
      <alignment horizontal="center"/>
    </xf>
    <xf numFmtId="0" fontId="9" fillId="4" borderId="21" xfId="0" applyFont="1" applyFill="1" applyBorder="1" applyAlignment="1" applyProtection="1">
      <alignment horizontal="center"/>
      <protection locked="0"/>
    </xf>
    <xf numFmtId="0" fontId="9" fillId="4" borderId="27" xfId="0" applyFont="1" applyFill="1" applyBorder="1" applyAlignment="1" applyProtection="1">
      <alignment horizontal="center"/>
      <protection locked="0"/>
    </xf>
    <xf numFmtId="0" fontId="9" fillId="4" borderId="22" xfId="0" applyFont="1" applyFill="1" applyBorder="1" applyAlignment="1" applyProtection="1">
      <alignment horizontal="center"/>
      <protection locked="0"/>
    </xf>
    <xf numFmtId="0" fontId="9" fillId="4" borderId="16" xfId="0" applyFont="1" applyFill="1" applyBorder="1" applyAlignment="1" applyProtection="1">
      <alignment horizontal="center"/>
      <protection locked="0"/>
    </xf>
    <xf numFmtId="2" fontId="9" fillId="7" borderId="0" xfId="0" applyNumberFormat="1" applyFont="1" applyFill="1" applyBorder="1" applyAlignment="1">
      <alignment horizontal="center"/>
    </xf>
    <xf numFmtId="2" fontId="9" fillId="5" borderId="30" xfId="0" applyNumberFormat="1" applyFont="1" applyFill="1" applyBorder="1" applyAlignment="1">
      <alignment horizontal="center"/>
    </xf>
    <xf numFmtId="2" fontId="9" fillId="6" borderId="0" xfId="0" applyNumberFormat="1" applyFont="1" applyFill="1" applyBorder="1" applyAlignment="1">
      <alignment horizontal="center"/>
    </xf>
    <xf numFmtId="2" fontId="9" fillId="7" borderId="9" xfId="0" applyNumberFormat="1" applyFont="1" applyFill="1" applyBorder="1" applyAlignment="1">
      <alignment horizontal="center"/>
    </xf>
    <xf numFmtId="2" fontId="9" fillId="7" borderId="8" xfId="0" applyNumberFormat="1" applyFont="1" applyFill="1" applyBorder="1" applyAlignment="1">
      <alignment horizontal="center"/>
    </xf>
    <xf numFmtId="0" fontId="0" fillId="0" borderId="7" xfId="0" applyBorder="1"/>
    <xf numFmtId="0" fontId="10" fillId="0" borderId="7" xfId="0" applyFont="1" applyBorder="1" applyAlignment="1">
      <alignment horizontal="center" vertical="center" wrapText="1"/>
    </xf>
    <xf numFmtId="0" fontId="0" fillId="0" borderId="0" xfId="0" applyAlignment="1">
      <alignment horizontal="center"/>
    </xf>
    <xf numFmtId="0" fontId="0" fillId="0" borderId="0" xfId="0" applyFill="1" applyAlignment="1">
      <alignment horizontal="center"/>
    </xf>
    <xf numFmtId="0" fontId="0" fillId="0" borderId="22" xfId="0" applyBorder="1"/>
    <xf numFmtId="0" fontId="0" fillId="0" borderId="22" xfId="0" applyFill="1" applyBorder="1" applyAlignment="1">
      <alignment vertical="center" wrapText="1"/>
    </xf>
    <xf numFmtId="0" fontId="0" fillId="0" borderId="22" xfId="0" applyFill="1" applyBorder="1"/>
    <xf numFmtId="0" fontId="0" fillId="0" borderId="22" xfId="0" applyFill="1" applyBorder="1" applyAlignment="1">
      <alignment horizontal="center"/>
    </xf>
    <xf numFmtId="0" fontId="0" fillId="0" borderId="22" xfId="0" applyFill="1" applyBorder="1" applyAlignment="1"/>
    <xf numFmtId="1" fontId="0" fillId="0" borderId="22" xfId="0" applyNumberFormat="1" applyBorder="1"/>
    <xf numFmtId="165" fontId="0" fillId="0" borderId="0" xfId="0" applyNumberFormat="1" applyAlignment="1">
      <alignment horizontal="center"/>
    </xf>
    <xf numFmtId="0" fontId="8" fillId="0" borderId="10" xfId="0" applyFont="1" applyBorder="1" applyAlignment="1"/>
    <xf numFmtId="0" fontId="0" fillId="0" borderId="0" xfId="0" applyFill="1" applyBorder="1" applyAlignment="1">
      <alignment horizontal="left"/>
    </xf>
    <xf numFmtId="0" fontId="9" fillId="0" borderId="0" xfId="0" applyFont="1" applyFill="1" applyBorder="1" applyAlignment="1"/>
    <xf numFmtId="0" fontId="10" fillId="0" borderId="12" xfId="0" applyFont="1" applyFill="1" applyBorder="1" applyAlignment="1">
      <alignment horizontal="center"/>
    </xf>
    <xf numFmtId="0" fontId="10" fillId="0" borderId="12" xfId="0" applyFont="1" applyBorder="1" applyAlignment="1">
      <alignment horizontal="right"/>
    </xf>
    <xf numFmtId="2" fontId="9" fillId="0" borderId="7" xfId="0" applyNumberFormat="1" applyFont="1" applyFill="1" applyBorder="1" applyAlignment="1">
      <alignment horizontal="center"/>
    </xf>
    <xf numFmtId="2" fontId="9" fillId="0" borderId="7" xfId="0" applyNumberFormat="1" applyFont="1" applyFill="1" applyBorder="1" applyAlignment="1">
      <alignment horizontal="center" vertical="center"/>
    </xf>
    <xf numFmtId="0" fontId="9" fillId="0" borderId="0" xfId="0" applyFont="1"/>
    <xf numFmtId="2" fontId="9" fillId="0" borderId="7" xfId="0" applyNumberFormat="1" applyFont="1" applyBorder="1" applyAlignment="1">
      <alignment horizontal="center" vertical="center"/>
    </xf>
    <xf numFmtId="0" fontId="12" fillId="0" borderId="0" xfId="0" applyFont="1" applyAlignment="1">
      <alignment horizontal="center" vertical="center"/>
    </xf>
    <xf numFmtId="0" fontId="5" fillId="0" borderId="22" xfId="0" applyFont="1" applyBorder="1" applyAlignment="1">
      <alignment horizontal="center" vertical="center"/>
    </xf>
    <xf numFmtId="0" fontId="0" fillId="0" borderId="22" xfId="0" applyBorder="1" applyAlignment="1">
      <alignment vertical="center" wrapText="1"/>
    </xf>
    <xf numFmtId="0" fontId="1" fillId="0" borderId="22" xfId="0" applyFont="1" applyBorder="1" applyAlignment="1"/>
    <xf numFmtId="1" fontId="0" fillId="0" borderId="22" xfId="3" applyNumberFormat="1" applyFont="1" applyFill="1" applyBorder="1" applyAlignment="1">
      <alignment horizontal="right" vertical="center"/>
    </xf>
    <xf numFmtId="0" fontId="5" fillId="0" borderId="22" xfId="0" applyFont="1" applyBorder="1" applyAlignment="1">
      <alignment vertical="center"/>
    </xf>
    <xf numFmtId="0" fontId="0" fillId="0" borderId="7" xfId="0" applyFill="1" applyBorder="1" applyAlignment="1" applyProtection="1">
      <alignment horizontal="center"/>
    </xf>
    <xf numFmtId="165" fontId="0" fillId="0" borderId="2" xfId="0" applyNumberFormat="1" applyFill="1" applyBorder="1"/>
    <xf numFmtId="0" fontId="6" fillId="0" borderId="0" xfId="0" applyFont="1" applyAlignment="1">
      <alignment horizontal="center"/>
    </xf>
    <xf numFmtId="0" fontId="6" fillId="0" borderId="0" xfId="0" applyFont="1" applyFill="1" applyAlignment="1">
      <alignment horizontal="center"/>
    </xf>
    <xf numFmtId="164" fontId="0" fillId="0" borderId="3" xfId="0" applyNumberFormat="1" applyBorder="1" applyAlignment="1">
      <alignment vertical="center" wrapText="1"/>
    </xf>
    <xf numFmtId="2" fontId="9" fillId="7" borderId="0" xfId="0" applyNumberFormat="1" applyFont="1" applyFill="1" applyBorder="1" applyAlignment="1">
      <alignment horizontal="center" vertical="center"/>
    </xf>
    <xf numFmtId="0" fontId="9" fillId="6" borderId="9" xfId="0" applyFont="1" applyFill="1" applyBorder="1" applyAlignment="1" applyProtection="1">
      <alignment horizontal="center"/>
    </xf>
    <xf numFmtId="1" fontId="6" fillId="0" borderId="2" xfId="0" applyNumberFormat="1" applyFont="1" applyBorder="1" applyAlignment="1">
      <alignment vertical="center" wrapText="1"/>
    </xf>
    <xf numFmtId="0" fontId="0" fillId="0" borderId="0" xfId="0" applyAlignment="1" applyProtection="1">
      <alignment horizontal="center"/>
      <protection locked="0"/>
    </xf>
    <xf numFmtId="0" fontId="10" fillId="0" borderId="7" xfId="0" applyFont="1" applyBorder="1" applyAlignment="1">
      <alignment horizontal="center"/>
    </xf>
    <xf numFmtId="2" fontId="9" fillId="0" borderId="8" xfId="0" applyNumberFormat="1" applyFont="1" applyFill="1" applyBorder="1" applyAlignment="1">
      <alignment horizontal="center"/>
    </xf>
    <xf numFmtId="2" fontId="9" fillId="0" borderId="9" xfId="0" applyNumberFormat="1" applyFont="1" applyFill="1" applyBorder="1" applyAlignment="1">
      <alignment horizontal="center"/>
    </xf>
    <xf numFmtId="2" fontId="9" fillId="0" borderId="29" xfId="0" applyNumberFormat="1" applyFont="1" applyFill="1" applyBorder="1" applyAlignment="1">
      <alignment horizontal="center"/>
    </xf>
    <xf numFmtId="0" fontId="9" fillId="0" borderId="9" xfId="0" applyFont="1" applyFill="1" applyBorder="1" applyAlignment="1" applyProtection="1">
      <alignment horizontal="center"/>
    </xf>
    <xf numFmtId="0" fontId="9" fillId="4" borderId="7" xfId="0" applyFont="1" applyFill="1" applyBorder="1" applyAlignment="1" applyProtection="1">
      <alignment horizontal="center" vertical="center"/>
      <protection locked="0"/>
    </xf>
    <xf numFmtId="0" fontId="1" fillId="0" borderId="9" xfId="0" applyFont="1" applyFill="1" applyBorder="1" applyAlignment="1">
      <alignment wrapText="1"/>
    </xf>
    <xf numFmtId="0" fontId="1" fillId="0" borderId="9" xfId="0" applyFont="1" applyBorder="1"/>
    <xf numFmtId="0" fontId="1" fillId="0" borderId="9" xfId="0" applyFont="1" applyBorder="1" applyAlignment="1">
      <alignment horizontal="center"/>
    </xf>
    <xf numFmtId="15" fontId="0" fillId="0" borderId="0" xfId="0" applyNumberFormat="1" applyFill="1" applyBorder="1"/>
    <xf numFmtId="0" fontId="9" fillId="0" borderId="22" xfId="0" applyFont="1" applyFill="1" applyBorder="1" applyAlignment="1"/>
    <xf numFmtId="0" fontId="0" fillId="0" borderId="30" xfId="0" applyFill="1" applyBorder="1"/>
    <xf numFmtId="0" fontId="0" fillId="0" borderId="21" xfId="0" applyFill="1" applyBorder="1"/>
    <xf numFmtId="0" fontId="0" fillId="0" borderId="21" xfId="0" applyBorder="1"/>
    <xf numFmtId="0" fontId="0" fillId="0" borderId="21" xfId="0" applyFont="1" applyFill="1" applyBorder="1" applyAlignment="1"/>
    <xf numFmtId="0" fontId="0" fillId="11" borderId="7" xfId="0" applyFill="1" applyBorder="1"/>
    <xf numFmtId="2" fontId="9" fillId="0" borderId="7" xfId="0" applyNumberFormat="1" applyFont="1" applyBorder="1" applyAlignment="1" applyProtection="1">
      <alignment horizontal="center"/>
    </xf>
    <xf numFmtId="0" fontId="8" fillId="0" borderId="27" xfId="0" applyFont="1" applyFill="1" applyBorder="1" applyAlignment="1"/>
    <xf numFmtId="0" fontId="10" fillId="0" borderId="28" xfId="0" applyFont="1" applyFill="1" applyBorder="1" applyAlignment="1">
      <alignment horizontal="right"/>
    </xf>
    <xf numFmtId="0" fontId="0" fillId="7" borderId="7" xfId="0" applyFill="1" applyBorder="1" applyAlignment="1">
      <alignment vertical="center" wrapText="1"/>
    </xf>
    <xf numFmtId="0" fontId="0" fillId="5" borderId="7" xfId="0" applyFill="1" applyBorder="1" applyAlignment="1">
      <alignment wrapText="1"/>
    </xf>
    <xf numFmtId="0" fontId="0" fillId="6" borderId="7" xfId="0" applyFill="1" applyBorder="1" applyAlignment="1">
      <alignment vertical="center" wrapText="1"/>
    </xf>
    <xf numFmtId="0" fontId="0" fillId="7" borderId="7" xfId="0" applyFill="1" applyBorder="1" applyAlignment="1">
      <alignment wrapText="1"/>
    </xf>
    <xf numFmtId="0" fontId="0" fillId="0" borderId="0" xfId="0" applyFill="1" applyBorder="1" applyAlignment="1" applyProtection="1">
      <alignment horizontal="center"/>
    </xf>
    <xf numFmtId="0" fontId="1" fillId="0" borderId="0" xfId="0" applyFont="1" applyFill="1" applyBorder="1" applyAlignment="1">
      <alignment horizontal="left"/>
    </xf>
    <xf numFmtId="0" fontId="0" fillId="0" borderId="0" xfId="0" applyFont="1" applyFill="1" applyBorder="1" applyAlignment="1">
      <alignment horizontal="left"/>
    </xf>
    <xf numFmtId="0" fontId="4" fillId="0" borderId="0" xfId="0" applyFont="1" applyFill="1" applyBorder="1" applyAlignment="1">
      <alignment horizontal="center" vertical="center"/>
    </xf>
    <xf numFmtId="0" fontId="1" fillId="0" borderId="0" xfId="0" applyFont="1" applyFill="1" applyBorder="1" applyAlignment="1">
      <alignment horizontal="center"/>
    </xf>
    <xf numFmtId="164" fontId="0" fillId="0" borderId="0" xfId="0" applyNumberFormat="1"/>
    <xf numFmtId="0" fontId="9" fillId="0" borderId="7" xfId="0" applyFont="1" applyFill="1" applyBorder="1" applyAlignment="1" applyProtection="1">
      <alignment horizontal="center" vertical="center"/>
    </xf>
    <xf numFmtId="0" fontId="0" fillId="6" borderId="7" xfId="0" applyFill="1" applyBorder="1" applyAlignment="1">
      <alignment horizontal="left" vertical="center"/>
    </xf>
    <xf numFmtId="0" fontId="0" fillId="6" borderId="7" xfId="0" applyFill="1" applyBorder="1" applyAlignment="1">
      <alignment horizontal="left" vertical="center" wrapText="1"/>
    </xf>
    <xf numFmtId="0" fontId="0" fillId="7" borderId="7" xfId="0" applyFont="1" applyFill="1" applyBorder="1" applyAlignment="1">
      <alignment horizontal="left" vertical="center" wrapText="1"/>
    </xf>
    <xf numFmtId="0" fontId="1" fillId="0" borderId="9" xfId="0" applyFont="1" applyBorder="1" applyAlignment="1">
      <alignment vertical="center"/>
    </xf>
    <xf numFmtId="2" fontId="9" fillId="0" borderId="9" xfId="0" applyNumberFormat="1" applyFont="1" applyFill="1" applyBorder="1" applyAlignment="1">
      <alignment horizontal="center" vertical="center"/>
    </xf>
    <xf numFmtId="0" fontId="1" fillId="0" borderId="9" xfId="0" applyFont="1" applyBorder="1" applyAlignment="1">
      <alignment horizontal="center" vertical="center"/>
    </xf>
    <xf numFmtId="0" fontId="0" fillId="2" borderId="7" xfId="0" applyFill="1" applyBorder="1" applyAlignment="1">
      <alignment wrapText="1"/>
    </xf>
    <xf numFmtId="0" fontId="0" fillId="2" borderId="7" xfId="0" applyFill="1" applyBorder="1" applyAlignment="1">
      <alignment horizontal="center"/>
    </xf>
    <xf numFmtId="0" fontId="0" fillId="2" borderId="7" xfId="0" applyFill="1" applyBorder="1" applyAlignment="1">
      <alignment vertical="center"/>
    </xf>
    <xf numFmtId="0" fontId="0" fillId="2" borderId="7" xfId="0" applyFill="1" applyBorder="1" applyAlignment="1">
      <alignment horizontal="center" vertical="center"/>
    </xf>
    <xf numFmtId="0" fontId="0" fillId="0" borderId="0" xfId="0" applyAlignment="1">
      <alignment horizontal="center"/>
    </xf>
    <xf numFmtId="0" fontId="5" fillId="0" borderId="0" xfId="0" applyFont="1" applyBorder="1" applyAlignment="1">
      <alignment vertical="center"/>
    </xf>
    <xf numFmtId="0" fontId="9" fillId="0" borderId="0" xfId="0" applyFont="1" applyBorder="1" applyAlignment="1"/>
    <xf numFmtId="2" fontId="9" fillId="0" borderId="0" xfId="2" applyNumberFormat="1" applyFont="1" applyBorder="1" applyAlignment="1">
      <alignment horizontal="center"/>
    </xf>
    <xf numFmtId="0" fontId="6" fillId="12" borderId="29" xfId="0" applyFont="1" applyFill="1" applyBorder="1" applyProtection="1">
      <protection locked="0"/>
    </xf>
    <xf numFmtId="0" fontId="9" fillId="12" borderId="7" xfId="0" applyFont="1" applyFill="1" applyBorder="1" applyAlignment="1" applyProtection="1">
      <alignment horizontal="center" vertical="center"/>
      <protection locked="0"/>
    </xf>
    <xf numFmtId="0" fontId="9" fillId="12" borderId="21" xfId="0" applyFont="1" applyFill="1" applyBorder="1" applyAlignment="1" applyProtection="1">
      <alignment horizontal="center"/>
      <protection locked="0"/>
    </xf>
    <xf numFmtId="0" fontId="9" fillId="12" borderId="29" xfId="0" applyFont="1" applyFill="1" applyBorder="1" applyAlignment="1" applyProtection="1">
      <alignment horizontal="center"/>
      <protection locked="0"/>
    </xf>
    <xf numFmtId="0" fontId="9" fillId="3" borderId="0" xfId="0" applyFont="1" applyFill="1" applyBorder="1"/>
    <xf numFmtId="0" fontId="9" fillId="3" borderId="7" xfId="0" applyFont="1" applyFill="1" applyBorder="1" applyAlignment="1">
      <alignment horizontal="left" vertical="center"/>
    </xf>
    <xf numFmtId="0" fontId="9" fillId="3" borderId="11" xfId="0" applyFont="1" applyFill="1" applyBorder="1"/>
    <xf numFmtId="0" fontId="9" fillId="3" borderId="10" xfId="0" applyFont="1" applyFill="1" applyBorder="1" applyAlignment="1">
      <alignment vertical="center"/>
    </xf>
    <xf numFmtId="0" fontId="9" fillId="3" borderId="12" xfId="0" applyFont="1" applyFill="1" applyBorder="1" applyAlignment="1">
      <alignment vertical="center"/>
    </xf>
    <xf numFmtId="2" fontId="9" fillId="3" borderId="8" xfId="0" applyNumberFormat="1" applyFont="1" applyFill="1" applyBorder="1" applyAlignment="1">
      <alignment horizontal="center"/>
    </xf>
    <xf numFmtId="2" fontId="9" fillId="3" borderId="7" xfId="0" applyNumberFormat="1" applyFont="1" applyFill="1" applyBorder="1" applyAlignment="1">
      <alignment horizontal="center"/>
    </xf>
    <xf numFmtId="0" fontId="9" fillId="3" borderId="26" xfId="0" applyFont="1" applyFill="1" applyBorder="1"/>
    <xf numFmtId="0" fontId="9" fillId="3" borderId="11" xfId="0" applyFont="1" applyFill="1" applyBorder="1" applyAlignment="1">
      <alignment vertical="center"/>
    </xf>
    <xf numFmtId="0" fontId="0" fillId="0" borderId="4" xfId="0" applyBorder="1" applyAlignment="1">
      <alignment vertical="center"/>
    </xf>
    <xf numFmtId="0" fontId="0" fillId="0" borderId="0" xfId="0" applyProtection="1">
      <protection locked="0"/>
    </xf>
    <xf numFmtId="165" fontId="0" fillId="0" borderId="0" xfId="0" applyNumberFormat="1" applyFill="1"/>
    <xf numFmtId="0" fontId="5" fillId="0" borderId="0" xfId="0" applyFont="1" applyFill="1" applyBorder="1" applyAlignment="1">
      <alignment vertical="center"/>
    </xf>
    <xf numFmtId="0" fontId="5" fillId="0" borderId="22" xfId="0" applyFont="1" applyFill="1" applyBorder="1" applyAlignment="1">
      <alignment vertical="center"/>
    </xf>
    <xf numFmtId="2" fontId="11" fillId="7" borderId="0" xfId="0" applyNumberFormat="1" applyFont="1" applyFill="1" applyBorder="1" applyAlignment="1">
      <alignment horizontal="center"/>
    </xf>
    <xf numFmtId="0" fontId="9" fillId="0" borderId="10" xfId="0" applyFont="1" applyFill="1" applyBorder="1" applyAlignment="1">
      <alignment vertical="center"/>
    </xf>
    <xf numFmtId="0" fontId="9" fillId="0" borderId="12" xfId="0" applyFont="1" applyFill="1" applyBorder="1" applyAlignment="1">
      <alignment vertical="center"/>
    </xf>
    <xf numFmtId="0" fontId="9" fillId="0" borderId="12" xfId="0" applyFont="1" applyFill="1" applyBorder="1" applyAlignment="1">
      <alignment vertical="center" wrapText="1"/>
    </xf>
    <xf numFmtId="0" fontId="0" fillId="0" borderId="7" xfId="0" applyFill="1" applyBorder="1"/>
    <xf numFmtId="0" fontId="9" fillId="8" borderId="27" xfId="0" applyFont="1" applyFill="1" applyBorder="1"/>
    <xf numFmtId="0" fontId="0" fillId="0" borderId="0" xfId="0" applyAlignment="1">
      <alignment horizontal="center"/>
    </xf>
    <xf numFmtId="0" fontId="0" fillId="0" borderId="0" xfId="0" applyFill="1" applyBorder="1" applyAlignment="1">
      <alignment horizontal="center"/>
    </xf>
    <xf numFmtId="0" fontId="9" fillId="12" borderId="7" xfId="0" applyFont="1" applyFill="1" applyBorder="1" applyAlignment="1" applyProtection="1">
      <alignment horizontal="center" vertical="center" wrapText="1"/>
      <protection locked="0"/>
    </xf>
    <xf numFmtId="2" fontId="9" fillId="3" borderId="9" xfId="0" applyNumberFormat="1" applyFont="1" applyFill="1" applyBorder="1" applyAlignment="1">
      <alignment horizontal="center"/>
    </xf>
    <xf numFmtId="2" fontId="0" fillId="0" borderId="2" xfId="0" applyNumberFormat="1" applyFill="1" applyBorder="1" applyAlignment="1">
      <alignment vertical="center" wrapText="1"/>
    </xf>
    <xf numFmtId="164" fontId="0" fillId="0" borderId="2" xfId="0" applyNumberFormat="1" applyFill="1" applyBorder="1" applyAlignment="1">
      <alignment vertical="center" wrapText="1"/>
    </xf>
    <xf numFmtId="164" fontId="0" fillId="0" borderId="3" xfId="0" applyNumberFormat="1" applyFill="1" applyBorder="1" applyAlignment="1">
      <alignment vertical="center" wrapText="1"/>
    </xf>
    <xf numFmtId="164" fontId="0" fillId="0" borderId="32" xfId="0" applyNumberFormat="1" applyFill="1" applyBorder="1" applyAlignment="1">
      <alignment vertical="center" wrapText="1"/>
    </xf>
    <xf numFmtId="164" fontId="0" fillId="0" borderId="0" xfId="0" applyNumberFormat="1" applyBorder="1" applyAlignment="1">
      <alignment vertical="center" wrapText="1"/>
    </xf>
    <xf numFmtId="164" fontId="0" fillId="0" borderId="32" xfId="0" applyNumberFormat="1" applyBorder="1" applyAlignment="1">
      <alignment vertical="center" wrapText="1"/>
    </xf>
    <xf numFmtId="1" fontId="0" fillId="0" borderId="2" xfId="0" applyNumberFormat="1" applyFill="1" applyBorder="1" applyAlignment="1">
      <alignment vertical="center" wrapText="1"/>
    </xf>
    <xf numFmtId="1" fontId="0" fillId="0" borderId="3" xfId="0" applyNumberFormat="1" applyBorder="1" applyAlignment="1">
      <alignment vertical="center" wrapText="1"/>
    </xf>
    <xf numFmtId="1" fontId="0" fillId="0" borderId="32" xfId="0" applyNumberFormat="1" applyBorder="1" applyAlignment="1">
      <alignment vertical="center" wrapText="1"/>
    </xf>
    <xf numFmtId="164" fontId="0" fillId="0" borderId="2" xfId="3" applyNumberFormat="1" applyFont="1" applyFill="1" applyBorder="1" applyAlignment="1">
      <alignment horizontal="right" vertical="center"/>
    </xf>
    <xf numFmtId="164" fontId="0" fillId="0" borderId="3" xfId="3" applyNumberFormat="1" applyFont="1" applyFill="1" applyBorder="1" applyAlignment="1">
      <alignment horizontal="right" vertical="center"/>
    </xf>
    <xf numFmtId="2" fontId="0" fillId="0" borderId="2" xfId="3" applyNumberFormat="1" applyFont="1" applyFill="1" applyBorder="1" applyAlignment="1">
      <alignment vertical="center"/>
    </xf>
    <xf numFmtId="0" fontId="0" fillId="0" borderId="2" xfId="3" applyFont="1" applyFill="1" applyBorder="1" applyAlignment="1">
      <alignment vertical="center"/>
    </xf>
    <xf numFmtId="1" fontId="0" fillId="0" borderId="3" xfId="3" applyNumberFormat="1" applyFont="1" applyFill="1" applyBorder="1" applyAlignment="1">
      <alignment vertical="center"/>
    </xf>
    <xf numFmtId="2" fontId="0" fillId="0" borderId="5" xfId="0" applyNumberFormat="1" applyFont="1" applyBorder="1" applyAlignment="1">
      <alignment vertical="center"/>
    </xf>
    <xf numFmtId="2" fontId="0" fillId="0" borderId="6" xfId="0" applyNumberFormat="1" applyFont="1" applyBorder="1" applyAlignment="1">
      <alignment vertical="center"/>
    </xf>
    <xf numFmtId="0" fontId="0" fillId="0" borderId="1" xfId="0" applyFont="1" applyBorder="1" applyAlignment="1">
      <alignment vertical="center" wrapText="1"/>
    </xf>
    <xf numFmtId="0" fontId="0" fillId="0" borderId="4" xfId="0" applyFont="1" applyBorder="1" applyAlignment="1">
      <alignment vertical="center"/>
    </xf>
    <xf numFmtId="0" fontId="6" fillId="0" borderId="17" xfId="0" applyFont="1" applyFill="1" applyBorder="1"/>
    <xf numFmtId="0" fontId="6" fillId="0" borderId="30" xfId="0" applyFont="1" applyFill="1" applyBorder="1"/>
    <xf numFmtId="0" fontId="6" fillId="0" borderId="21" xfId="0" applyFont="1" applyFill="1" applyBorder="1"/>
    <xf numFmtId="0" fontId="0" fillId="0" borderId="0" xfId="0" applyFill="1" applyBorder="1" applyAlignment="1">
      <alignment horizontal="center" wrapText="1"/>
    </xf>
    <xf numFmtId="0" fontId="0" fillId="0" borderId="0" xfId="0" applyBorder="1" applyAlignment="1">
      <alignment horizontal="center" wrapText="1"/>
    </xf>
    <xf numFmtId="0" fontId="0" fillId="0" borderId="0" xfId="0" applyFill="1" applyBorder="1" applyAlignment="1">
      <alignment horizontal="left" wrapText="1"/>
    </xf>
    <xf numFmtId="0" fontId="9" fillId="4" borderId="20" xfId="0" applyFont="1" applyFill="1" applyBorder="1" applyAlignment="1" applyProtection="1">
      <alignment horizontal="center" vertical="center"/>
      <protection locked="0"/>
    </xf>
    <xf numFmtId="0" fontId="0" fillId="0" borderId="26" xfId="0" applyBorder="1" applyAlignment="1">
      <alignment horizontal="left" vertical="top" wrapText="1"/>
    </xf>
    <xf numFmtId="0" fontId="1" fillId="9" borderId="7" xfId="0" applyFont="1" applyFill="1" applyBorder="1" applyAlignment="1">
      <alignment horizontal="center" vertical="center" wrapText="1"/>
    </xf>
    <xf numFmtId="0" fontId="19" fillId="0" borderId="0" xfId="0" applyFont="1"/>
    <xf numFmtId="0" fontId="22" fillId="11" borderId="1" xfId="1" applyFont="1" applyFill="1" applyBorder="1" applyAlignment="1" applyProtection="1">
      <alignment vertical="center"/>
      <protection locked="0"/>
    </xf>
    <xf numFmtId="0" fontId="22" fillId="11" borderId="13" xfId="1" applyFont="1" applyFill="1" applyBorder="1" applyAlignment="1" applyProtection="1">
      <protection locked="0"/>
    </xf>
    <xf numFmtId="0" fontId="24" fillId="0" borderId="0" xfId="1" applyFont="1"/>
    <xf numFmtId="0" fontId="22" fillId="12" borderId="15" xfId="1" applyFont="1" applyFill="1" applyBorder="1" applyAlignment="1" applyProtection="1">
      <alignment horizontal="center" vertical="center" wrapText="1"/>
      <protection locked="0"/>
    </xf>
    <xf numFmtId="0" fontId="6" fillId="0" borderId="31" xfId="1" applyFont="1" applyBorder="1" applyAlignment="1">
      <alignment horizontal="left" vertical="center" wrapText="1"/>
    </xf>
    <xf numFmtId="0" fontId="6" fillId="0" borderId="0" xfId="1" applyFont="1" applyBorder="1" applyAlignment="1">
      <alignment horizontal="left" vertical="center" wrapText="1"/>
    </xf>
    <xf numFmtId="0" fontId="6" fillId="0" borderId="0" xfId="1" applyFont="1" applyBorder="1"/>
    <xf numFmtId="0" fontId="6" fillId="0" borderId="0" xfId="1" applyFont="1" applyBorder="1" applyAlignment="1">
      <alignment vertical="center" wrapText="1"/>
    </xf>
    <xf numFmtId="0" fontId="6" fillId="0" borderId="0" xfId="1" applyFont="1" applyBorder="1" applyAlignment="1">
      <alignment horizontal="left"/>
    </xf>
    <xf numFmtId="0" fontId="24" fillId="0" borderId="32" xfId="1" applyFont="1" applyBorder="1"/>
    <xf numFmtId="0" fontId="22" fillId="11" borderId="8" xfId="1" applyFont="1" applyFill="1" applyBorder="1" applyAlignment="1">
      <alignment horizontal="center" vertical="center" wrapText="1"/>
    </xf>
    <xf numFmtId="0" fontId="22" fillId="11" borderId="17" xfId="1" applyFont="1" applyFill="1" applyBorder="1" applyAlignment="1">
      <alignment horizontal="center" vertical="center" wrapText="1"/>
    </xf>
    <xf numFmtId="0" fontId="6" fillId="0" borderId="13" xfId="1" applyFont="1" applyBorder="1" applyAlignment="1">
      <alignment horizontal="center" vertical="center" wrapText="1"/>
    </xf>
    <xf numFmtId="0" fontId="6" fillId="0" borderId="18" xfId="1" applyFont="1" applyBorder="1" applyAlignment="1">
      <alignment vertical="center" wrapText="1"/>
    </xf>
    <xf numFmtId="0" fontId="6" fillId="0" borderId="18" xfId="1" applyFont="1" applyBorder="1" applyAlignment="1">
      <alignment horizontal="center" vertical="center" wrapText="1"/>
    </xf>
    <xf numFmtId="0" fontId="6" fillId="0" borderId="19" xfId="1" applyFont="1" applyBorder="1" applyAlignment="1">
      <alignment horizontal="center" vertical="center" wrapText="1"/>
    </xf>
    <xf numFmtId="0" fontId="24" fillId="0" borderId="0" xfId="1" applyFont="1" applyProtection="1">
      <protection locked="0"/>
    </xf>
    <xf numFmtId="0" fontId="6" fillId="4" borderId="20" xfId="1" applyFont="1" applyFill="1" applyBorder="1" applyAlignment="1" applyProtection="1">
      <alignment horizontal="center" vertical="center" wrapText="1"/>
      <protection locked="0"/>
    </xf>
    <xf numFmtId="0" fontId="6" fillId="0" borderId="18" xfId="1" applyFont="1" applyFill="1" applyBorder="1" applyAlignment="1">
      <alignment vertical="center" wrapText="1"/>
    </xf>
    <xf numFmtId="0" fontId="6" fillId="4" borderId="23" xfId="1" applyFont="1" applyFill="1" applyBorder="1" applyAlignment="1" applyProtection="1">
      <alignment horizontal="center" vertical="center" wrapText="1"/>
      <protection locked="0"/>
    </xf>
    <xf numFmtId="0" fontId="6" fillId="4" borderId="24" xfId="1" applyFont="1" applyFill="1" applyBorder="1" applyAlignment="1" applyProtection="1">
      <alignment horizontal="center" vertical="center" wrapText="1"/>
      <protection locked="0"/>
    </xf>
    <xf numFmtId="0" fontId="6" fillId="0" borderId="18" xfId="1" applyFont="1" applyFill="1" applyBorder="1" applyAlignment="1">
      <alignment horizontal="center" vertical="center" wrapText="1"/>
    </xf>
    <xf numFmtId="0" fontId="6" fillId="4" borderId="25" xfId="1" applyFont="1" applyFill="1" applyBorder="1" applyAlignment="1" applyProtection="1">
      <alignment horizontal="center" vertical="center" wrapText="1"/>
      <protection locked="0"/>
    </xf>
    <xf numFmtId="0" fontId="6" fillId="0" borderId="19" xfId="1" applyFont="1" applyFill="1" applyBorder="1" applyAlignment="1">
      <alignment horizontal="center" vertical="center" wrapText="1"/>
    </xf>
    <xf numFmtId="0" fontId="24" fillId="0" borderId="0" xfId="1" applyFont="1" applyFill="1" applyProtection="1">
      <protection locked="0"/>
    </xf>
    <xf numFmtId="0" fontId="24" fillId="0" borderId="0" xfId="1" applyFont="1" applyFill="1"/>
    <xf numFmtId="0" fontId="12" fillId="0" borderId="0" xfId="0" applyFont="1" applyBorder="1" applyAlignment="1">
      <alignment horizontal="center" vertical="center" wrapText="1"/>
    </xf>
    <xf numFmtId="0" fontId="6" fillId="0" borderId="13" xfId="1" applyFont="1" applyBorder="1" applyAlignment="1" applyProtection="1">
      <alignment horizontal="center" vertical="center" wrapText="1"/>
      <protection locked="0"/>
    </xf>
    <xf numFmtId="0" fontId="6" fillId="0" borderId="33" xfId="1" applyFont="1" applyBorder="1" applyAlignment="1" applyProtection="1">
      <alignment vertical="center" wrapText="1"/>
      <protection locked="0"/>
    </xf>
    <xf numFmtId="0" fontId="6" fillId="4" borderId="18" xfId="1" applyFont="1" applyFill="1" applyBorder="1" applyAlignment="1" applyProtection="1">
      <alignment horizontal="center" vertical="center" wrapText="1"/>
      <protection locked="0"/>
    </xf>
    <xf numFmtId="0" fontId="6" fillId="7" borderId="9" xfId="0" applyFont="1" applyFill="1" applyBorder="1" applyAlignment="1">
      <alignment horizontal="left" vertical="center" wrapText="1"/>
    </xf>
    <xf numFmtId="0" fontId="7" fillId="0" borderId="17" xfId="0" applyFont="1" applyBorder="1"/>
    <xf numFmtId="0" fontId="0" fillId="0" borderId="30" xfId="0" applyBorder="1"/>
    <xf numFmtId="0" fontId="0" fillId="0" borderId="16" xfId="0" applyBorder="1"/>
    <xf numFmtId="0" fontId="0" fillId="0" borderId="27" xfId="0" applyBorder="1" applyAlignment="1">
      <alignment horizontal="left" vertical="top" wrapText="1"/>
    </xf>
    <xf numFmtId="0" fontId="0" fillId="0" borderId="27" xfId="0" applyFont="1" applyBorder="1"/>
    <xf numFmtId="0" fontId="0" fillId="0" borderId="26" xfId="0" applyBorder="1"/>
    <xf numFmtId="0" fontId="0" fillId="0" borderId="28" xfId="0" applyBorder="1"/>
    <xf numFmtId="0" fontId="0" fillId="0" borderId="0" xfId="0" applyFont="1" applyBorder="1"/>
    <xf numFmtId="0" fontId="9" fillId="8" borderId="9" xfId="0" applyFont="1" applyFill="1" applyBorder="1" applyAlignment="1">
      <alignment horizontal="left" vertical="center"/>
    </xf>
    <xf numFmtId="0" fontId="9" fillId="8" borderId="27" xfId="0" applyFont="1" applyFill="1" applyBorder="1" applyAlignment="1">
      <alignment horizontal="left" vertical="center"/>
    </xf>
    <xf numFmtId="15" fontId="6" fillId="0" borderId="0" xfId="0" applyNumberFormat="1" applyFont="1" applyFill="1" applyBorder="1"/>
    <xf numFmtId="0" fontId="9" fillId="8" borderId="8" xfId="0" applyFont="1" applyFill="1" applyBorder="1" applyAlignment="1">
      <alignment vertical="center"/>
    </xf>
    <xf numFmtId="0" fontId="9" fillId="8" borderId="9" xfId="0" applyFont="1" applyFill="1" applyBorder="1" applyAlignment="1">
      <alignment vertical="center"/>
    </xf>
    <xf numFmtId="0" fontId="9" fillId="8" borderId="17" xfId="0" applyFont="1" applyFill="1" applyBorder="1" applyAlignment="1">
      <alignment vertical="center"/>
    </xf>
    <xf numFmtId="2" fontId="9" fillId="0" borderId="7" xfId="0" applyNumberFormat="1" applyFont="1" applyFill="1" applyBorder="1" applyAlignment="1">
      <alignment horizontal="center" wrapText="1"/>
    </xf>
    <xf numFmtId="0" fontId="0" fillId="0" borderId="27" xfId="0" applyFill="1" applyBorder="1"/>
    <xf numFmtId="0" fontId="0" fillId="0" borderId="26" xfId="0" applyFill="1" applyBorder="1"/>
    <xf numFmtId="0" fontId="1" fillId="0" borderId="26" xfId="0" applyFont="1" applyBorder="1" applyAlignment="1"/>
    <xf numFmtId="2" fontId="0" fillId="13" borderId="5" xfId="0" applyNumberFormat="1" applyFont="1" applyFill="1" applyBorder="1" applyAlignment="1">
      <alignment vertical="center"/>
    </xf>
    <xf numFmtId="166" fontId="0" fillId="0" borderId="0" xfId="0" applyNumberFormat="1"/>
    <xf numFmtId="0" fontId="6" fillId="0" borderId="0" xfId="0" applyFont="1"/>
    <xf numFmtId="11" fontId="0" fillId="0" borderId="0" xfId="0" applyNumberFormat="1" applyFill="1" applyBorder="1"/>
    <xf numFmtId="0" fontId="9" fillId="0" borderId="7" xfId="0" applyFont="1" applyFill="1" applyBorder="1" applyAlignment="1">
      <alignment vertical="center"/>
    </xf>
    <xf numFmtId="0" fontId="9" fillId="0" borderId="7" xfId="0" applyFont="1" applyFill="1" applyBorder="1" applyAlignment="1">
      <alignment vertical="center" wrapText="1"/>
    </xf>
    <xf numFmtId="0" fontId="10" fillId="0" borderId="7" xfId="0" applyFont="1" applyBorder="1" applyAlignment="1">
      <alignment horizontal="center" wrapText="1"/>
    </xf>
    <xf numFmtId="0" fontId="9" fillId="6" borderId="29" xfId="0" applyFont="1" applyFill="1" applyBorder="1" applyAlignment="1">
      <alignment horizontal="left" vertical="center"/>
    </xf>
    <xf numFmtId="0" fontId="9" fillId="3" borderId="29" xfId="0" applyFont="1" applyFill="1" applyBorder="1" applyAlignment="1">
      <alignment horizontal="left" vertical="center"/>
    </xf>
    <xf numFmtId="0" fontId="9" fillId="3" borderId="9" xfId="0" applyFont="1" applyFill="1" applyBorder="1" applyAlignment="1">
      <alignment horizontal="left" vertical="center"/>
    </xf>
    <xf numFmtId="0" fontId="10" fillId="0" borderId="7" xfId="0" applyFont="1" applyBorder="1" applyAlignment="1">
      <alignment horizontal="center" vertical="center"/>
    </xf>
    <xf numFmtId="2" fontId="9" fillId="8" borderId="8" xfId="0" applyNumberFormat="1" applyFont="1" applyFill="1" applyBorder="1" applyAlignment="1">
      <alignment horizontal="center" vertical="center"/>
    </xf>
    <xf numFmtId="0" fontId="10" fillId="0" borderId="10" xfId="0" applyFont="1" applyBorder="1" applyAlignment="1">
      <alignment horizontal="center"/>
    </xf>
    <xf numFmtId="0" fontId="10" fillId="0" borderId="12" xfId="0" applyFont="1" applyBorder="1" applyAlignment="1">
      <alignment horizontal="center"/>
    </xf>
    <xf numFmtId="164" fontId="9" fillId="0" borderId="7" xfId="2" applyNumberFormat="1" applyFont="1" applyBorder="1" applyAlignment="1">
      <alignment horizontal="center"/>
    </xf>
    <xf numFmtId="164" fontId="9" fillId="0" borderId="7" xfId="0" applyNumberFormat="1" applyFont="1" applyBorder="1" applyAlignment="1" applyProtection="1">
      <alignment horizontal="center"/>
    </xf>
    <xf numFmtId="0" fontId="0" fillId="4" borderId="7" xfId="0" applyFill="1" applyBorder="1" applyAlignment="1" applyProtection="1">
      <alignment horizontal="left" vertical="center" wrapText="1"/>
      <protection locked="0"/>
    </xf>
    <xf numFmtId="0" fontId="0" fillId="4" borderId="7" xfId="0" applyNumberFormat="1" applyFill="1" applyBorder="1" applyAlignment="1" applyProtection="1">
      <alignment horizontal="left"/>
      <protection locked="0"/>
    </xf>
    <xf numFmtId="0" fontId="0" fillId="0" borderId="0" xfId="0" applyFill="1" applyBorder="1" applyAlignment="1">
      <alignment horizontal="center"/>
    </xf>
    <xf numFmtId="0" fontId="21" fillId="0" borderId="21" xfId="0" applyFont="1" applyFill="1" applyBorder="1" applyAlignment="1">
      <alignment vertical="center" wrapText="1"/>
    </xf>
    <xf numFmtId="0" fontId="21" fillId="0" borderId="0" xfId="0" applyFont="1" applyFill="1" applyBorder="1" applyAlignment="1">
      <alignment vertical="center" wrapText="1"/>
    </xf>
    <xf numFmtId="0" fontId="21" fillId="0" borderId="22" xfId="0" applyFont="1" applyFill="1" applyBorder="1" applyAlignment="1">
      <alignment vertical="center" wrapText="1"/>
    </xf>
    <xf numFmtId="0" fontId="0" fillId="0" borderId="0" xfId="0" applyFill="1" applyBorder="1" applyAlignment="1">
      <alignment wrapText="1"/>
    </xf>
    <xf numFmtId="0" fontId="0" fillId="0" borderId="22" xfId="0" applyFill="1" applyBorder="1" applyAlignment="1">
      <alignment wrapText="1"/>
    </xf>
    <xf numFmtId="0" fontId="20" fillId="0" borderId="0" xfId="0" applyFont="1" applyFill="1" applyAlignment="1">
      <alignment wrapText="1"/>
    </xf>
    <xf numFmtId="0" fontId="20" fillId="0" borderId="21" xfId="0" applyFont="1" applyFill="1" applyBorder="1" applyAlignment="1">
      <alignment wrapText="1"/>
    </xf>
    <xf numFmtId="166" fontId="0" fillId="0" borderId="3" xfId="0" applyNumberFormat="1" applyBorder="1" applyAlignment="1">
      <alignment vertical="center" wrapText="1"/>
    </xf>
    <xf numFmtId="0" fontId="9" fillId="8" borderId="7" xfId="0" applyFont="1" applyFill="1" applyBorder="1" applyAlignment="1">
      <alignment horizontal="left" vertical="center"/>
    </xf>
    <xf numFmtId="0" fontId="9" fillId="0" borderId="7" xfId="0" applyFont="1" applyBorder="1" applyAlignment="1" applyProtection="1">
      <alignment horizontal="center"/>
    </xf>
    <xf numFmtId="2" fontId="9" fillId="8" borderId="9" xfId="0" applyNumberFormat="1" applyFont="1" applyFill="1" applyBorder="1" applyAlignment="1">
      <alignment horizontal="center" wrapText="1"/>
    </xf>
    <xf numFmtId="2" fontId="9" fillId="8" borderId="26" xfId="0" applyNumberFormat="1" applyFont="1" applyFill="1" applyBorder="1" applyAlignment="1">
      <alignment horizontal="center"/>
    </xf>
    <xf numFmtId="0" fontId="0" fillId="0" borderId="0" xfId="0" applyFill="1" applyBorder="1" applyAlignment="1">
      <alignment horizontal="center"/>
    </xf>
    <xf numFmtId="2" fontId="0" fillId="0" borderId="0" xfId="0" applyNumberFormat="1" applyFont="1" applyBorder="1" applyAlignment="1">
      <alignment vertical="center"/>
    </xf>
    <xf numFmtId="165" fontId="0" fillId="0" borderId="0" xfId="0" applyNumberFormat="1" applyFill="1" applyAlignment="1">
      <alignment horizontal="center"/>
    </xf>
    <xf numFmtId="0" fontId="9" fillId="3" borderId="27" xfId="0" applyFont="1" applyFill="1" applyBorder="1" applyAlignment="1">
      <alignment vertical="center"/>
    </xf>
    <xf numFmtId="0" fontId="9" fillId="3" borderId="26" xfId="0" applyFont="1" applyFill="1" applyBorder="1" applyAlignment="1">
      <alignment vertical="center"/>
    </xf>
    <xf numFmtId="0" fontId="9" fillId="3" borderId="17" xfId="0" applyFont="1" applyFill="1" applyBorder="1" applyAlignment="1">
      <alignment vertical="center"/>
    </xf>
    <xf numFmtId="0" fontId="9" fillId="3" borderId="16" xfId="0" applyFont="1" applyFill="1" applyBorder="1" applyAlignment="1">
      <alignment vertical="center"/>
    </xf>
    <xf numFmtId="2" fontId="9" fillId="8" borderId="29" xfId="0" applyNumberFormat="1" applyFont="1" applyFill="1" applyBorder="1" applyAlignment="1">
      <alignment horizontal="center" vertical="center"/>
    </xf>
    <xf numFmtId="0" fontId="9" fillId="3" borderId="28" xfId="0" applyFont="1" applyFill="1" applyBorder="1" applyAlignment="1">
      <alignment vertical="center"/>
    </xf>
    <xf numFmtId="0" fontId="9" fillId="3" borderId="30" xfId="0" applyFont="1" applyFill="1" applyBorder="1" applyAlignment="1">
      <alignment vertical="center"/>
    </xf>
    <xf numFmtId="0" fontId="9" fillId="4" borderId="17" xfId="0" applyFont="1" applyFill="1" applyBorder="1" applyAlignment="1" applyProtection="1">
      <alignment horizontal="center"/>
      <protection locked="0"/>
    </xf>
    <xf numFmtId="2" fontId="0" fillId="0" borderId="0" xfId="0" applyNumberFormat="1" applyFill="1"/>
    <xf numFmtId="1" fontId="0" fillId="0" borderId="0" xfId="0" applyNumberFormat="1" applyFill="1"/>
    <xf numFmtId="164" fontId="0" fillId="0" borderId="0" xfId="0" applyNumberFormat="1" applyFill="1"/>
    <xf numFmtId="0" fontId="9" fillId="4" borderId="9" xfId="0" applyNumberFormat="1" applyFont="1" applyFill="1" applyBorder="1" applyAlignment="1" applyProtection="1">
      <alignment horizontal="center"/>
      <protection locked="0"/>
    </xf>
    <xf numFmtId="9" fontId="9" fillId="0" borderId="7" xfId="2" applyFont="1" applyFill="1" applyBorder="1" applyAlignment="1">
      <alignment horizontal="center"/>
    </xf>
    <xf numFmtId="0" fontId="0" fillId="0" borderId="28" xfId="0" applyBorder="1" applyAlignment="1">
      <alignment horizontal="left" vertical="top" wrapText="1"/>
    </xf>
    <xf numFmtId="0" fontId="0" fillId="7" borderId="9" xfId="0" applyFont="1" applyFill="1" applyBorder="1" applyAlignment="1">
      <alignment horizontal="left" vertical="center" wrapText="1"/>
    </xf>
    <xf numFmtId="0" fontId="0" fillId="3" borderId="7" xfId="0" applyFont="1" applyFill="1" applyBorder="1" applyAlignment="1">
      <alignment horizontal="left" vertical="center" wrapText="1"/>
    </xf>
    <xf numFmtId="0" fontId="0" fillId="8" borderId="27" xfId="0" applyFont="1" applyFill="1" applyBorder="1" applyAlignment="1">
      <alignment vertical="center"/>
    </xf>
    <xf numFmtId="0" fontId="0" fillId="8" borderId="7" xfId="0" applyFont="1" applyFill="1" applyBorder="1" applyAlignment="1">
      <alignment horizontal="left" vertical="center" wrapText="1"/>
    </xf>
    <xf numFmtId="0" fontId="0" fillId="8" borderId="26" xfId="0" applyFont="1" applyFill="1" applyBorder="1" applyAlignment="1">
      <alignment vertical="center"/>
    </xf>
    <xf numFmtId="0" fontId="0" fillId="8" borderId="7" xfId="0" applyFill="1" applyBorder="1" applyAlignment="1">
      <alignment horizontal="left" vertical="center" wrapText="1"/>
    </xf>
    <xf numFmtId="0" fontId="0" fillId="0" borderId="16" xfId="0" applyBorder="1" applyAlignment="1">
      <alignment wrapText="1"/>
    </xf>
    <xf numFmtId="0" fontId="0" fillId="0" borderId="28" xfId="0" applyBorder="1" applyAlignment="1">
      <alignment wrapText="1"/>
    </xf>
    <xf numFmtId="0" fontId="0" fillId="0" borderId="0" xfId="0" applyAlignment="1">
      <alignment wrapText="1"/>
    </xf>
    <xf numFmtId="0" fontId="0" fillId="3" borderId="11" xfId="0" applyFont="1" applyFill="1" applyBorder="1" applyAlignment="1">
      <alignment vertical="center" wrapText="1"/>
    </xf>
    <xf numFmtId="0" fontId="0" fillId="3" borderId="7" xfId="0" applyFont="1" applyFill="1" applyBorder="1" applyAlignment="1">
      <alignment vertical="center" wrapText="1"/>
    </xf>
    <xf numFmtId="0" fontId="0" fillId="3" borderId="27" xfId="0" applyFont="1" applyFill="1" applyBorder="1" applyAlignment="1">
      <alignment vertical="center" wrapText="1"/>
    </xf>
    <xf numFmtId="0" fontId="0" fillId="4" borderId="10" xfId="0" applyFill="1" applyBorder="1" applyAlignment="1" applyProtection="1">
      <alignment horizontal="left" vertical="center"/>
      <protection locked="0"/>
    </xf>
    <xf numFmtId="0" fontId="0" fillId="4" borderId="12" xfId="0" applyFill="1" applyBorder="1" applyAlignment="1" applyProtection="1">
      <alignment horizontal="left" vertical="center"/>
      <protection locked="0"/>
    </xf>
    <xf numFmtId="0" fontId="4" fillId="0" borderId="27" xfId="0" applyFont="1" applyBorder="1" applyAlignment="1">
      <alignment horizontal="center" vertical="center"/>
    </xf>
    <xf numFmtId="0" fontId="4" fillId="0" borderId="26" xfId="0" applyFont="1" applyBorder="1" applyAlignment="1">
      <alignment horizontal="center" vertical="center"/>
    </xf>
    <xf numFmtId="0" fontId="4" fillId="0" borderId="28" xfId="0" applyFont="1" applyBorder="1" applyAlignment="1">
      <alignment horizontal="center" vertical="center"/>
    </xf>
    <xf numFmtId="0" fontId="1" fillId="0" borderId="27" xfId="0" applyFont="1" applyBorder="1" applyAlignment="1">
      <alignment vertical="center"/>
    </xf>
    <xf numFmtId="0" fontId="1" fillId="0" borderId="28" xfId="0" applyFont="1" applyBorder="1" applyAlignment="1">
      <alignment vertical="center"/>
    </xf>
    <xf numFmtId="0" fontId="0" fillId="2" borderId="10" xfId="0" applyFill="1" applyBorder="1" applyAlignment="1">
      <alignment vertical="center"/>
    </xf>
    <xf numFmtId="0" fontId="0" fillId="2" borderId="12" xfId="0" applyFill="1" applyBorder="1" applyAlignment="1">
      <alignment vertical="center"/>
    </xf>
    <xf numFmtId="0" fontId="1" fillId="0" borderId="10" xfId="0" applyFont="1" applyBorder="1" applyAlignment="1">
      <alignment horizontal="left"/>
    </xf>
    <xf numFmtId="0" fontId="1" fillId="0" borderId="11" xfId="0" applyFont="1" applyBorder="1" applyAlignment="1">
      <alignment horizontal="left"/>
    </xf>
    <xf numFmtId="0" fontId="1" fillId="0" borderId="12" xfId="0" applyFont="1" applyBorder="1" applyAlignment="1">
      <alignment horizontal="left"/>
    </xf>
    <xf numFmtId="1" fontId="0" fillId="4" borderId="10" xfId="0" applyNumberFormat="1" applyFill="1" applyBorder="1" applyAlignment="1" applyProtection="1">
      <alignment horizontal="center"/>
      <protection locked="0"/>
    </xf>
    <xf numFmtId="1" fontId="0" fillId="4" borderId="11" xfId="0" applyNumberFormat="1" applyFill="1" applyBorder="1" applyAlignment="1" applyProtection="1">
      <alignment horizontal="center"/>
      <protection locked="0"/>
    </xf>
    <xf numFmtId="1" fontId="0" fillId="4" borderId="12" xfId="0" applyNumberFormat="1" applyFill="1" applyBorder="1" applyAlignment="1" applyProtection="1">
      <alignment horizontal="center"/>
      <protection locked="0"/>
    </xf>
    <xf numFmtId="0" fontId="0" fillId="0" borderId="27" xfId="0" applyBorder="1" applyAlignment="1">
      <alignment horizontal="left"/>
    </xf>
    <xf numFmtId="0" fontId="0" fillId="0" borderId="26" xfId="0" applyBorder="1" applyAlignment="1">
      <alignment horizontal="left"/>
    </xf>
    <xf numFmtId="0" fontId="0" fillId="0" borderId="28" xfId="0" applyBorder="1" applyAlignment="1">
      <alignment horizontal="left"/>
    </xf>
    <xf numFmtId="0" fontId="0" fillId="11" borderId="7" xfId="0" applyFont="1" applyFill="1" applyBorder="1" applyAlignment="1">
      <alignment horizontal="left"/>
    </xf>
    <xf numFmtId="0" fontId="0" fillId="12" borderId="10" xfId="0" applyFont="1" applyFill="1" applyBorder="1" applyAlignment="1">
      <alignment horizontal="left"/>
    </xf>
    <xf numFmtId="0" fontId="0" fillId="12" borderId="11" xfId="0" applyFont="1" applyFill="1" applyBorder="1" applyAlignment="1">
      <alignment horizontal="left"/>
    </xf>
    <xf numFmtId="0" fontId="0" fillId="12" borderId="12" xfId="0" applyFont="1" applyFill="1" applyBorder="1" applyAlignment="1">
      <alignment horizontal="left"/>
    </xf>
    <xf numFmtId="0" fontId="0" fillId="4" borderId="10" xfId="0" applyFont="1" applyFill="1" applyBorder="1" applyAlignment="1">
      <alignment horizontal="left"/>
    </xf>
    <xf numFmtId="0" fontId="0" fillId="4" borderId="11" xfId="0" applyFont="1" applyFill="1" applyBorder="1" applyAlignment="1">
      <alignment horizontal="left"/>
    </xf>
    <xf numFmtId="0" fontId="0" fillId="4" borderId="12" xfId="0" applyFont="1" applyFill="1" applyBorder="1" applyAlignment="1">
      <alignment horizontal="left"/>
    </xf>
    <xf numFmtId="0" fontId="4" fillId="0" borderId="17" xfId="0" applyFont="1" applyBorder="1" applyAlignment="1">
      <alignment horizontal="center" vertical="center"/>
    </xf>
    <xf numFmtId="0" fontId="4" fillId="0" borderId="30" xfId="0" applyFont="1" applyBorder="1" applyAlignment="1">
      <alignment horizontal="center" vertical="center"/>
    </xf>
    <xf numFmtId="0" fontId="4" fillId="0" borderId="16" xfId="0" applyFont="1" applyBorder="1" applyAlignment="1">
      <alignment horizontal="center" vertical="center"/>
    </xf>
    <xf numFmtId="0" fontId="0" fillId="4" borderId="10" xfId="0" applyFill="1" applyBorder="1" applyAlignment="1" applyProtection="1">
      <alignment horizontal="center"/>
      <protection locked="0"/>
    </xf>
    <xf numFmtId="0" fontId="0" fillId="4" borderId="11" xfId="0" applyFill="1" applyBorder="1" applyAlignment="1" applyProtection="1">
      <alignment horizontal="center"/>
      <protection locked="0"/>
    </xf>
    <xf numFmtId="0" fontId="0" fillId="4" borderId="12" xfId="0" applyFill="1" applyBorder="1" applyAlignment="1" applyProtection="1">
      <alignment horizontal="center"/>
      <protection locked="0"/>
    </xf>
    <xf numFmtId="0" fontId="0" fillId="12" borderId="10" xfId="0" applyFill="1" applyBorder="1" applyAlignment="1" applyProtection="1">
      <alignment horizontal="center"/>
      <protection locked="0"/>
    </xf>
    <xf numFmtId="0" fontId="0" fillId="12" borderId="11" xfId="0" applyFill="1" applyBorder="1" applyAlignment="1" applyProtection="1">
      <alignment horizontal="center"/>
      <protection locked="0"/>
    </xf>
    <xf numFmtId="0" fontId="0" fillId="12" borderId="12" xfId="0" applyFill="1" applyBorder="1" applyAlignment="1" applyProtection="1">
      <alignment horizontal="center"/>
      <protection locked="0"/>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0" fillId="4" borderId="17" xfId="0" applyFill="1" applyBorder="1" applyAlignment="1" applyProtection="1">
      <alignment vertical="top" wrapText="1"/>
      <protection locked="0"/>
    </xf>
    <xf numFmtId="0" fontId="0" fillId="4" borderId="30" xfId="0" applyFill="1" applyBorder="1" applyAlignment="1" applyProtection="1">
      <alignment vertical="top" wrapText="1"/>
      <protection locked="0"/>
    </xf>
    <xf numFmtId="0" fontId="0" fillId="4" borderId="16" xfId="0" applyFill="1" applyBorder="1" applyAlignment="1" applyProtection="1">
      <alignment vertical="top" wrapText="1"/>
      <protection locked="0"/>
    </xf>
    <xf numFmtId="0" fontId="0" fillId="4" borderId="27" xfId="0" applyFill="1" applyBorder="1" applyAlignment="1" applyProtection="1">
      <alignment vertical="top" wrapText="1"/>
      <protection locked="0"/>
    </xf>
    <xf numFmtId="0" fontId="0" fillId="4" borderId="26" xfId="0" applyFill="1" applyBorder="1" applyAlignment="1" applyProtection="1">
      <alignment vertical="top" wrapText="1"/>
      <protection locked="0"/>
    </xf>
    <xf numFmtId="0" fontId="0" fillId="4" borderId="28" xfId="0" applyFill="1" applyBorder="1" applyAlignment="1" applyProtection="1">
      <alignment vertical="top" wrapText="1"/>
      <protection locked="0"/>
    </xf>
    <xf numFmtId="0" fontId="0" fillId="0" borderId="10" xfId="0" applyBorder="1" applyAlignment="1">
      <alignment horizontal="left"/>
    </xf>
    <xf numFmtId="0" fontId="0" fillId="0" borderId="11" xfId="0" applyBorder="1" applyAlignment="1">
      <alignment horizontal="left"/>
    </xf>
    <xf numFmtId="0" fontId="0" fillId="0" borderId="12" xfId="0" applyBorder="1" applyAlignment="1">
      <alignment horizontal="left"/>
    </xf>
    <xf numFmtId="0" fontId="23" fillId="4" borderId="14" xfId="1" applyFont="1" applyFill="1" applyBorder="1" applyAlignment="1" applyProtection="1">
      <alignment horizontal="left" vertical="center" wrapText="1"/>
      <protection locked="0"/>
    </xf>
    <xf numFmtId="0" fontId="23" fillId="4" borderId="15" xfId="1" applyFont="1" applyFill="1" applyBorder="1" applyAlignment="1" applyProtection="1">
      <alignment horizontal="left" vertical="center" wrapText="1"/>
      <protection locked="0"/>
    </xf>
    <xf numFmtId="0" fontId="22" fillId="11" borderId="1" xfId="1" applyFont="1" applyFill="1" applyBorder="1" applyAlignment="1">
      <alignment horizontal="center" vertical="center" wrapText="1"/>
    </xf>
    <xf numFmtId="0" fontId="22" fillId="11" borderId="35" xfId="1" applyFont="1" applyFill="1" applyBorder="1" applyAlignment="1">
      <alignment horizontal="center" vertical="center" wrapText="1"/>
    </xf>
    <xf numFmtId="0" fontId="22" fillId="11" borderId="31" xfId="1" applyFont="1" applyFill="1" applyBorder="1" applyAlignment="1">
      <alignment horizontal="center" vertical="center" wrapText="1"/>
    </xf>
    <xf numFmtId="0" fontId="22" fillId="11" borderId="22" xfId="1" applyFont="1" applyFill="1" applyBorder="1" applyAlignment="1">
      <alignment horizontal="center" vertical="center" wrapText="1"/>
    </xf>
    <xf numFmtId="0" fontId="22" fillId="11" borderId="36" xfId="1" applyFont="1" applyFill="1" applyBorder="1" applyAlignment="1">
      <alignment horizontal="center" vertical="center" wrapText="1"/>
    </xf>
    <xf numFmtId="0" fontId="22" fillId="11" borderId="34" xfId="1" applyFont="1" applyFill="1" applyBorder="1" applyAlignment="1">
      <alignment horizontal="center" vertical="center" wrapText="1"/>
    </xf>
    <xf numFmtId="0" fontId="22" fillId="11" borderId="25" xfId="1" applyFont="1" applyFill="1" applyBorder="1" applyAlignment="1">
      <alignment horizontal="center" vertical="center" wrapText="1"/>
    </xf>
    <xf numFmtId="0" fontId="22" fillId="11" borderId="23" xfId="1" applyFont="1" applyFill="1" applyBorder="1" applyAlignment="1">
      <alignment horizontal="center" vertical="center" wrapText="1"/>
    </xf>
    <xf numFmtId="0" fontId="22" fillId="0" borderId="13" xfId="1" applyFont="1" applyFill="1" applyBorder="1" applyAlignment="1" applyProtection="1">
      <alignment horizontal="left" vertical="center" wrapText="1"/>
      <protection locked="0"/>
    </xf>
    <xf numFmtId="0" fontId="22" fillId="0" borderId="14" xfId="1" applyFont="1" applyFill="1" applyBorder="1" applyAlignment="1" applyProtection="1">
      <alignment horizontal="left" vertical="center" wrapText="1"/>
      <protection locked="0"/>
    </xf>
    <xf numFmtId="0" fontId="6" fillId="4" borderId="13" xfId="1" applyFont="1" applyFill="1" applyBorder="1" applyAlignment="1" applyProtection="1">
      <alignment horizontal="left" vertical="top" wrapText="1"/>
      <protection locked="0"/>
    </xf>
    <xf numFmtId="0" fontId="6" fillId="4" borderId="14" xfId="1" applyFont="1" applyFill="1" applyBorder="1" applyAlignment="1" applyProtection="1">
      <alignment horizontal="left" vertical="top" wrapText="1"/>
      <protection locked="0"/>
    </xf>
    <xf numFmtId="0" fontId="6" fillId="4" borderId="15" xfId="1" applyFont="1" applyFill="1" applyBorder="1" applyAlignment="1" applyProtection="1">
      <alignment horizontal="left" vertical="top" wrapText="1"/>
      <protection locked="0"/>
    </xf>
    <xf numFmtId="0" fontId="0" fillId="7" borderId="8" xfId="0" applyFont="1" applyFill="1" applyBorder="1" applyAlignment="1">
      <alignment horizontal="center" vertical="center" textRotation="90"/>
    </xf>
    <xf numFmtId="0" fontId="0" fillId="7" borderId="29" xfId="0" applyFont="1" applyFill="1" applyBorder="1" applyAlignment="1">
      <alignment horizontal="center" vertical="center" textRotation="90"/>
    </xf>
    <xf numFmtId="0" fontId="0" fillId="7" borderId="9" xfId="0" applyFont="1" applyFill="1" applyBorder="1" applyAlignment="1">
      <alignment horizontal="center" vertical="center" textRotation="90"/>
    </xf>
    <xf numFmtId="0" fontId="0" fillId="0" borderId="21" xfId="0" applyBorder="1" applyAlignment="1">
      <alignment horizontal="left" vertical="top" wrapText="1"/>
    </xf>
    <xf numFmtId="0" fontId="0" fillId="0" borderId="0" xfId="0" applyBorder="1" applyAlignment="1">
      <alignment horizontal="left" vertical="top" wrapText="1"/>
    </xf>
    <xf numFmtId="0" fontId="0" fillId="0" borderId="22" xfId="0" applyBorder="1" applyAlignment="1">
      <alignment horizontal="left" vertical="top" wrapText="1"/>
    </xf>
    <xf numFmtId="0" fontId="0" fillId="0" borderId="27" xfId="0" applyBorder="1" applyAlignment="1">
      <alignment horizontal="left" vertical="top" wrapText="1"/>
    </xf>
    <xf numFmtId="0" fontId="0" fillId="0" borderId="26" xfId="0" applyBorder="1" applyAlignment="1">
      <alignment horizontal="left" vertical="top" wrapText="1"/>
    </xf>
    <xf numFmtId="0" fontId="0" fillId="0" borderId="28" xfId="0" applyBorder="1" applyAlignment="1">
      <alignment horizontal="left" vertical="top" wrapText="1"/>
    </xf>
    <xf numFmtId="0" fontId="0" fillId="6" borderId="7" xfId="0" applyFont="1" applyFill="1" applyBorder="1" applyAlignment="1">
      <alignment horizontal="left" vertical="center"/>
    </xf>
    <xf numFmtId="0" fontId="0" fillId="8" borderId="7" xfId="0" applyFont="1" applyFill="1" applyBorder="1" applyAlignment="1">
      <alignment horizontal="left" vertical="center"/>
    </xf>
    <xf numFmtId="0" fontId="0" fillId="3" borderId="7" xfId="0" applyFont="1" applyFill="1" applyBorder="1" applyAlignment="1">
      <alignment horizontal="left" vertical="center" wrapText="1"/>
    </xf>
    <xf numFmtId="0" fontId="0" fillId="5" borderId="8" xfId="0" applyFill="1" applyBorder="1" applyAlignment="1">
      <alignment horizontal="left" vertical="center"/>
    </xf>
    <xf numFmtId="0" fontId="0" fillId="5" borderId="9" xfId="0" applyFill="1" applyBorder="1" applyAlignment="1">
      <alignment horizontal="left" vertical="center"/>
    </xf>
    <xf numFmtId="0" fontId="0" fillId="5" borderId="8" xfId="0" applyFill="1" applyBorder="1" applyAlignment="1">
      <alignment horizontal="left" vertical="center" wrapText="1"/>
    </xf>
    <xf numFmtId="0" fontId="0" fillId="5" borderId="9" xfId="0" applyFill="1" applyBorder="1" applyAlignment="1">
      <alignment horizontal="left" vertical="center" wrapText="1"/>
    </xf>
    <xf numFmtId="0" fontId="0" fillId="6" borderId="8" xfId="0" applyFont="1" applyFill="1" applyBorder="1" applyAlignment="1">
      <alignment horizontal="left" vertical="center" wrapText="1"/>
    </xf>
    <xf numFmtId="0" fontId="0" fillId="6" borderId="9" xfId="0" applyFont="1" applyFill="1" applyBorder="1" applyAlignment="1">
      <alignment horizontal="left" vertical="center" wrapText="1"/>
    </xf>
    <xf numFmtId="0" fontId="0" fillId="6" borderId="8" xfId="0" applyFill="1" applyBorder="1" applyAlignment="1">
      <alignment vertical="center" wrapText="1"/>
    </xf>
    <xf numFmtId="0" fontId="0" fillId="6" borderId="9" xfId="0" applyFill="1" applyBorder="1" applyAlignment="1">
      <alignment vertical="center" wrapText="1"/>
    </xf>
    <xf numFmtId="0" fontId="0" fillId="7" borderId="8" xfId="0" applyFont="1" applyFill="1" applyBorder="1" applyAlignment="1">
      <alignment horizontal="left" vertical="center" wrapText="1"/>
    </xf>
    <xf numFmtId="0" fontId="0" fillId="7" borderId="9" xfId="0" applyFont="1" applyFill="1" applyBorder="1" applyAlignment="1">
      <alignment horizontal="left" vertical="center" wrapText="1"/>
    </xf>
    <xf numFmtId="0" fontId="0" fillId="7" borderId="8" xfId="0" applyFill="1" applyBorder="1" applyAlignment="1">
      <alignment vertical="center" wrapText="1"/>
    </xf>
    <xf numFmtId="0" fontId="0" fillId="7" borderId="9" xfId="0" applyFill="1" applyBorder="1" applyAlignment="1">
      <alignment vertical="center" wrapText="1"/>
    </xf>
    <xf numFmtId="0" fontId="0" fillId="8" borderId="8" xfId="0" applyFill="1" applyBorder="1" applyAlignment="1">
      <alignment horizontal="left" vertical="center" wrapText="1"/>
    </xf>
    <xf numFmtId="0" fontId="0" fillId="8" borderId="9" xfId="0" applyFill="1" applyBorder="1" applyAlignment="1">
      <alignment horizontal="left" vertical="center" wrapText="1"/>
    </xf>
    <xf numFmtId="0" fontId="0" fillId="7" borderId="29" xfId="0" applyFont="1" applyFill="1" applyBorder="1" applyAlignment="1">
      <alignment horizontal="left" vertical="center" wrapText="1"/>
    </xf>
    <xf numFmtId="0" fontId="0" fillId="7" borderId="29" xfId="0" applyFill="1" applyBorder="1" applyAlignment="1">
      <alignment vertical="center" wrapText="1"/>
    </xf>
    <xf numFmtId="0" fontId="0" fillId="3" borderId="8" xfId="0" applyFont="1" applyFill="1" applyBorder="1" applyAlignment="1">
      <alignment horizontal="center" vertical="center" textRotation="90"/>
    </xf>
    <xf numFmtId="0" fontId="0" fillId="3" borderId="29" xfId="0" applyFont="1" applyFill="1" applyBorder="1" applyAlignment="1">
      <alignment horizontal="center" vertical="center" textRotation="90"/>
    </xf>
    <xf numFmtId="0" fontId="0" fillId="3" borderId="9" xfId="0" applyFont="1" applyFill="1" applyBorder="1" applyAlignment="1">
      <alignment horizontal="center" vertical="center" textRotation="90"/>
    </xf>
    <xf numFmtId="0" fontId="9" fillId="3" borderId="21" xfId="0" applyFont="1" applyFill="1" applyBorder="1" applyAlignment="1">
      <alignment horizontal="left" vertical="center" wrapText="1"/>
    </xf>
    <xf numFmtId="0" fontId="9" fillId="3" borderId="27" xfId="0" applyFont="1" applyFill="1" applyBorder="1" applyAlignment="1">
      <alignment horizontal="left" vertical="center" wrapText="1"/>
    </xf>
    <xf numFmtId="0" fontId="0" fillId="3" borderId="8" xfId="0" applyFill="1" applyBorder="1" applyAlignment="1">
      <alignment horizontal="left" vertical="center" wrapText="1"/>
    </xf>
    <xf numFmtId="0" fontId="0" fillId="3" borderId="29" xfId="0" applyFill="1" applyBorder="1" applyAlignment="1">
      <alignment horizontal="left" vertical="center" wrapText="1"/>
    </xf>
    <xf numFmtId="0" fontId="0" fillId="3" borderId="9" xfId="0" applyFill="1" applyBorder="1" applyAlignment="1">
      <alignment horizontal="left" vertical="center" wrapText="1"/>
    </xf>
    <xf numFmtId="0" fontId="0" fillId="3" borderId="8" xfId="0" applyFont="1" applyFill="1" applyBorder="1" applyAlignment="1">
      <alignment horizontal="left" vertical="center" wrapText="1"/>
    </xf>
    <xf numFmtId="0" fontId="0" fillId="3" borderId="9" xfId="0" applyFont="1" applyFill="1" applyBorder="1" applyAlignment="1">
      <alignment horizontal="left" vertical="center" wrapText="1"/>
    </xf>
    <xf numFmtId="0" fontId="0" fillId="7" borderId="8" xfId="0" applyFill="1" applyBorder="1" applyAlignment="1">
      <alignment horizontal="left" vertical="center" wrapText="1"/>
    </xf>
    <xf numFmtId="0" fontId="0" fillId="7" borderId="29" xfId="0" applyFill="1" applyBorder="1" applyAlignment="1">
      <alignment horizontal="left" vertical="center" wrapText="1"/>
    </xf>
    <xf numFmtId="0" fontId="0" fillId="7" borderId="9" xfId="0" applyFill="1" applyBorder="1" applyAlignment="1">
      <alignment horizontal="left" vertical="center" wrapText="1"/>
    </xf>
    <xf numFmtId="0" fontId="9" fillId="0" borderId="7" xfId="0" applyFont="1" applyFill="1" applyBorder="1" applyAlignment="1">
      <alignment vertical="center"/>
    </xf>
    <xf numFmtId="0" fontId="9" fillId="0" borderId="10" xfId="0" applyFont="1" applyBorder="1" applyAlignment="1" applyProtection="1"/>
    <xf numFmtId="0" fontId="9" fillId="0" borderId="11" xfId="0" applyFont="1" applyBorder="1" applyAlignment="1" applyProtection="1"/>
    <xf numFmtId="0" fontId="9" fillId="0" borderId="12" xfId="0" applyFont="1" applyBorder="1" applyAlignment="1" applyProtection="1"/>
    <xf numFmtId="0" fontId="9" fillId="0" borderId="7" xfId="0" applyFont="1" applyBorder="1" applyAlignment="1">
      <alignment vertical="center"/>
    </xf>
    <xf numFmtId="0" fontId="9" fillId="0" borderId="10" xfId="0" applyFont="1" applyFill="1" applyBorder="1" applyAlignment="1" applyProtection="1"/>
    <xf numFmtId="0" fontId="9" fillId="0" borderId="11" xfId="0" applyFont="1" applyFill="1" applyBorder="1" applyAlignment="1" applyProtection="1"/>
    <xf numFmtId="0" fontId="9" fillId="0" borderId="12" xfId="0" applyFont="1" applyFill="1" applyBorder="1" applyAlignment="1" applyProtection="1"/>
    <xf numFmtId="0" fontId="0" fillId="4" borderId="17" xfId="0" applyFill="1" applyBorder="1" applyAlignment="1" applyProtection="1">
      <alignment horizontal="left" vertical="top" wrapText="1"/>
      <protection locked="0"/>
    </xf>
    <xf numFmtId="0" fontId="0" fillId="4" borderId="30" xfId="0" applyFill="1" applyBorder="1" applyAlignment="1" applyProtection="1">
      <alignment horizontal="left" vertical="top" wrapText="1"/>
      <protection locked="0"/>
    </xf>
    <xf numFmtId="0" fontId="0" fillId="4" borderId="16" xfId="0" applyFill="1" applyBorder="1" applyAlignment="1" applyProtection="1">
      <alignment horizontal="left" vertical="top" wrapText="1"/>
      <protection locked="0"/>
    </xf>
    <xf numFmtId="0" fontId="0" fillId="4" borderId="21" xfId="0" applyFill="1" applyBorder="1" applyAlignment="1" applyProtection="1">
      <alignment horizontal="left" vertical="top" wrapText="1"/>
      <protection locked="0"/>
    </xf>
    <xf numFmtId="0" fontId="0" fillId="4" borderId="0" xfId="0" applyFill="1" applyBorder="1" applyAlignment="1" applyProtection="1">
      <alignment horizontal="left" vertical="top" wrapText="1"/>
      <protection locked="0"/>
    </xf>
    <xf numFmtId="0" fontId="0" fillId="4" borderId="22" xfId="0" applyFill="1" applyBorder="1" applyAlignment="1" applyProtection="1">
      <alignment horizontal="left" vertical="top" wrapText="1"/>
      <protection locked="0"/>
    </xf>
    <xf numFmtId="0" fontId="0" fillId="4" borderId="27" xfId="0" applyFill="1" applyBorder="1" applyAlignment="1" applyProtection="1">
      <alignment horizontal="left" vertical="top" wrapText="1"/>
      <protection locked="0"/>
    </xf>
    <xf numFmtId="0" fontId="0" fillId="4" borderId="26" xfId="0" applyFill="1" applyBorder="1" applyAlignment="1" applyProtection="1">
      <alignment horizontal="left" vertical="top" wrapText="1"/>
      <protection locked="0"/>
    </xf>
    <xf numFmtId="0" fontId="0" fillId="4" borderId="28" xfId="0" applyFill="1" applyBorder="1" applyAlignment="1" applyProtection="1">
      <alignment horizontal="left" vertical="top" wrapText="1"/>
      <protection locked="0"/>
    </xf>
    <xf numFmtId="0" fontId="8" fillId="0" borderId="10" xfId="0" applyFont="1" applyBorder="1" applyAlignment="1">
      <alignment horizontal="center"/>
    </xf>
    <xf numFmtId="0" fontId="8" fillId="0" borderId="11" xfId="0" applyFont="1" applyBorder="1" applyAlignment="1">
      <alignment horizontal="center"/>
    </xf>
    <xf numFmtId="0" fontId="8" fillId="0" borderId="12" xfId="0" applyFont="1" applyBorder="1" applyAlignment="1">
      <alignment horizontal="center"/>
    </xf>
    <xf numFmtId="0" fontId="0" fillId="0" borderId="17" xfId="0" applyBorder="1" applyAlignment="1">
      <alignment horizontal="left" wrapText="1"/>
    </xf>
    <xf numFmtId="0" fontId="0" fillId="0" borderId="30" xfId="0" applyBorder="1" applyAlignment="1">
      <alignment horizontal="left" wrapText="1"/>
    </xf>
    <xf numFmtId="0" fontId="0" fillId="0" borderId="16" xfId="0" applyBorder="1" applyAlignment="1">
      <alignment horizontal="left" wrapText="1"/>
    </xf>
    <xf numFmtId="0" fontId="0" fillId="0" borderId="27" xfId="0" applyBorder="1" applyAlignment="1">
      <alignment horizontal="left" wrapText="1"/>
    </xf>
    <xf numFmtId="0" fontId="0" fillId="0" borderId="26" xfId="0" applyBorder="1" applyAlignment="1">
      <alignment horizontal="left" wrapText="1"/>
    </xf>
    <xf numFmtId="0" fontId="0" fillId="0" borderId="28" xfId="0" applyBorder="1" applyAlignment="1">
      <alignment horizontal="left" wrapText="1"/>
    </xf>
    <xf numFmtId="0" fontId="9" fillId="0" borderId="10" xfId="0" applyFont="1" applyBorder="1"/>
    <xf numFmtId="0" fontId="9" fillId="0" borderId="11" xfId="0" applyFont="1" applyBorder="1"/>
    <xf numFmtId="0" fontId="9" fillId="0" borderId="12" xfId="0" applyFont="1" applyBorder="1"/>
    <xf numFmtId="0" fontId="8" fillId="0" borderId="17"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21" xfId="0" applyFont="1" applyBorder="1" applyAlignment="1">
      <alignment horizontal="center" vertical="center" wrapText="1"/>
    </xf>
    <xf numFmtId="0" fontId="8" fillId="0" borderId="0" xfId="0" applyFont="1" applyBorder="1" applyAlignment="1">
      <alignment horizontal="center" vertical="center" wrapText="1"/>
    </xf>
    <xf numFmtId="0" fontId="8" fillId="0" borderId="22" xfId="0" applyFont="1" applyBorder="1" applyAlignment="1">
      <alignment horizontal="center" vertical="center" wrapText="1"/>
    </xf>
    <xf numFmtId="0" fontId="8" fillId="0" borderId="7" xfId="0" applyFont="1" applyBorder="1" applyAlignment="1">
      <alignment horizontal="center"/>
    </xf>
    <xf numFmtId="0" fontId="9" fillId="4" borderId="7" xfId="0" applyFont="1" applyFill="1" applyBorder="1" applyAlignment="1"/>
    <xf numFmtId="0" fontId="9" fillId="12" borderId="7" xfId="0" applyFont="1" applyFill="1" applyBorder="1" applyAlignment="1"/>
    <xf numFmtId="0" fontId="9" fillId="0" borderId="7" xfId="0" applyFont="1" applyFill="1" applyBorder="1" applyAlignment="1"/>
    <xf numFmtId="0" fontId="9" fillId="3" borderId="21" xfId="0" applyFont="1" applyFill="1" applyBorder="1" applyAlignment="1">
      <alignment horizontal="left" vertical="center"/>
    </xf>
    <xf numFmtId="0" fontId="9" fillId="3" borderId="27" xfId="0" applyFont="1" applyFill="1" applyBorder="1" applyAlignment="1">
      <alignment horizontal="left" vertical="center"/>
    </xf>
    <xf numFmtId="0" fontId="9" fillId="0" borderId="10" xfId="0" applyFont="1" applyBorder="1" applyAlignment="1">
      <alignment horizontal="left" vertical="center"/>
    </xf>
    <xf numFmtId="0" fontId="9" fillId="0" borderId="12" xfId="0" applyFont="1" applyBorder="1" applyAlignment="1">
      <alignment horizontal="left" vertical="center"/>
    </xf>
    <xf numFmtId="0" fontId="10" fillId="0" borderId="10" xfId="0" applyFont="1" applyBorder="1"/>
    <xf numFmtId="0" fontId="10" fillId="0" borderId="11" xfId="0" applyFont="1" applyBorder="1"/>
    <xf numFmtId="0" fontId="10" fillId="0" borderId="12" xfId="0" applyFont="1" applyBorder="1"/>
    <xf numFmtId="0" fontId="9" fillId="0" borderId="10" xfId="0" applyFont="1" applyBorder="1" applyAlignment="1"/>
    <xf numFmtId="0" fontId="9" fillId="0" borderId="11" xfId="0" applyFont="1" applyBorder="1" applyAlignment="1"/>
    <xf numFmtId="0" fontId="9" fillId="0" borderId="12" xfId="0" applyFont="1" applyBorder="1" applyAlignment="1"/>
    <xf numFmtId="0" fontId="9" fillId="0" borderId="7" xfId="0" applyFont="1" applyFill="1" applyBorder="1" applyAlignment="1">
      <alignment vertical="center" wrapText="1"/>
    </xf>
    <xf numFmtId="2" fontId="9" fillId="5" borderId="8" xfId="0" applyNumberFormat="1" applyFont="1" applyFill="1" applyBorder="1" applyAlignment="1">
      <alignment horizontal="center" vertical="center"/>
    </xf>
    <xf numFmtId="2" fontId="9" fillId="5" borderId="9" xfId="0" applyNumberFormat="1" applyFont="1" applyFill="1" applyBorder="1" applyAlignment="1">
      <alignment horizontal="center" vertical="center"/>
    </xf>
    <xf numFmtId="0" fontId="9" fillId="6" borderId="8" xfId="0" applyFont="1" applyFill="1" applyBorder="1" applyAlignment="1">
      <alignment horizontal="left" vertical="center"/>
    </xf>
    <xf numFmtId="0" fontId="9" fillId="6" borderId="29" xfId="0" applyFont="1" applyFill="1" applyBorder="1" applyAlignment="1">
      <alignment horizontal="left" vertical="center"/>
    </xf>
    <xf numFmtId="0" fontId="9" fillId="6" borderId="9" xfId="0" applyFont="1" applyFill="1" applyBorder="1" applyAlignment="1">
      <alignment horizontal="left" vertical="center"/>
    </xf>
    <xf numFmtId="2" fontId="9" fillId="6" borderId="29" xfId="0" applyNumberFormat="1" applyFont="1" applyFill="1" applyBorder="1" applyAlignment="1">
      <alignment horizontal="center" vertical="center"/>
    </xf>
    <xf numFmtId="2" fontId="9" fillId="6" borderId="9" xfId="0" applyNumberFormat="1" applyFont="1" applyFill="1" applyBorder="1" applyAlignment="1">
      <alignment horizontal="center" vertical="center"/>
    </xf>
    <xf numFmtId="2" fontId="9" fillId="6" borderId="8" xfId="0" applyNumberFormat="1" applyFont="1" applyFill="1" applyBorder="1" applyAlignment="1">
      <alignment horizontal="center" vertical="center"/>
    </xf>
    <xf numFmtId="0" fontId="10" fillId="0" borderId="17" xfId="0" applyFont="1" applyBorder="1" applyAlignment="1">
      <alignment horizontal="center" wrapText="1"/>
    </xf>
    <xf numFmtId="0" fontId="10" fillId="0" borderId="27" xfId="0" applyFont="1" applyBorder="1" applyAlignment="1">
      <alignment horizontal="center" wrapText="1"/>
    </xf>
    <xf numFmtId="0" fontId="10" fillId="0" borderId="7" xfId="0" applyFont="1" applyBorder="1" applyAlignment="1">
      <alignment horizontal="center" wrapText="1"/>
    </xf>
    <xf numFmtId="0" fontId="10" fillId="0" borderId="17" xfId="0" applyFont="1" applyBorder="1" applyAlignment="1">
      <alignment horizontal="center" vertical="center"/>
    </xf>
    <xf numFmtId="0" fontId="10" fillId="0" borderId="16" xfId="0" applyFont="1" applyBorder="1" applyAlignment="1">
      <alignment horizontal="center" vertical="center"/>
    </xf>
    <xf numFmtId="0" fontId="10" fillId="0" borderId="27" xfId="0" applyFont="1" applyBorder="1" applyAlignment="1">
      <alignment horizontal="center" vertical="center"/>
    </xf>
    <xf numFmtId="0" fontId="10" fillId="0" borderId="28" xfId="0" applyFont="1" applyBorder="1" applyAlignment="1">
      <alignment horizontal="center" vertical="center"/>
    </xf>
    <xf numFmtId="0" fontId="8" fillId="0" borderId="10" xfId="0" applyFont="1" applyFill="1" applyBorder="1" applyAlignment="1">
      <alignment horizontal="center"/>
    </xf>
    <xf numFmtId="0" fontId="8" fillId="0" borderId="11" xfId="0" applyFont="1" applyFill="1" applyBorder="1" applyAlignment="1">
      <alignment horizontal="center"/>
    </xf>
    <xf numFmtId="0" fontId="9" fillId="5" borderId="29" xfId="0" applyFont="1" applyFill="1" applyBorder="1" applyAlignment="1">
      <alignment horizontal="left" vertical="center"/>
    </xf>
    <xf numFmtId="0" fontId="9" fillId="5" borderId="9" xfId="0" applyFont="1" applyFill="1" applyBorder="1" applyAlignment="1">
      <alignment horizontal="left" vertical="center"/>
    </xf>
    <xf numFmtId="0" fontId="9" fillId="5" borderId="17" xfId="0" applyFont="1" applyFill="1" applyBorder="1" applyAlignment="1">
      <alignment horizontal="left" vertical="center"/>
    </xf>
    <xf numFmtId="0" fontId="9" fillId="5" borderId="27" xfId="0" applyFont="1" applyFill="1" applyBorder="1" applyAlignment="1">
      <alignment horizontal="left" vertical="center"/>
    </xf>
    <xf numFmtId="2" fontId="9" fillId="3" borderId="7" xfId="0" applyNumberFormat="1" applyFont="1" applyFill="1" applyBorder="1" applyAlignment="1">
      <alignment horizontal="center" vertical="center"/>
    </xf>
    <xf numFmtId="2" fontId="9" fillId="8" borderId="8" xfId="0" applyNumberFormat="1" applyFont="1" applyFill="1" applyBorder="1" applyAlignment="1">
      <alignment horizontal="center" vertical="center"/>
    </xf>
    <xf numFmtId="2" fontId="9" fillId="8" borderId="9" xfId="0" applyNumberFormat="1" applyFont="1" applyFill="1" applyBorder="1" applyAlignment="1">
      <alignment horizontal="center" vertical="center"/>
    </xf>
    <xf numFmtId="2" fontId="9" fillId="3" borderId="8" xfId="0" applyNumberFormat="1" applyFont="1" applyFill="1" applyBorder="1" applyAlignment="1">
      <alignment horizontal="center" vertical="center"/>
    </xf>
    <xf numFmtId="2" fontId="9" fillId="3" borderId="9" xfId="0" applyNumberFormat="1" applyFont="1" applyFill="1" applyBorder="1" applyAlignment="1">
      <alignment horizontal="center" vertical="center"/>
    </xf>
    <xf numFmtId="0" fontId="8" fillId="0" borderId="17" xfId="0" applyFont="1" applyBorder="1" applyAlignment="1">
      <alignment horizontal="center"/>
    </xf>
    <xf numFmtId="0" fontId="8" fillId="0" borderId="16" xfId="0" applyFont="1" applyBorder="1" applyAlignment="1">
      <alignment horizontal="center"/>
    </xf>
    <xf numFmtId="0" fontId="10" fillId="0" borderId="10" xfId="0" applyFont="1" applyBorder="1" applyAlignment="1">
      <alignment horizontal="center"/>
    </xf>
    <xf numFmtId="0" fontId="10" fillId="0" borderId="11" xfId="0" applyFont="1" applyBorder="1" applyAlignment="1">
      <alignment horizontal="center"/>
    </xf>
    <xf numFmtId="0" fontId="10" fillId="0" borderId="12" xfId="0" applyFont="1" applyBorder="1" applyAlignment="1">
      <alignment horizontal="center"/>
    </xf>
    <xf numFmtId="2" fontId="9" fillId="7" borderId="8" xfId="0" applyNumberFormat="1" applyFont="1" applyFill="1" applyBorder="1" applyAlignment="1">
      <alignment horizontal="center" vertical="center"/>
    </xf>
    <xf numFmtId="2" fontId="9" fillId="7" borderId="29" xfId="0" applyNumberFormat="1" applyFont="1" applyFill="1" applyBorder="1" applyAlignment="1">
      <alignment horizontal="center" vertical="center"/>
    </xf>
    <xf numFmtId="2" fontId="9" fillId="7" borderId="9" xfId="0" applyNumberFormat="1" applyFont="1" applyFill="1" applyBorder="1" applyAlignment="1">
      <alignment horizontal="center" vertical="center"/>
    </xf>
    <xf numFmtId="0" fontId="9" fillId="7" borderId="8" xfId="0" applyFont="1" applyFill="1" applyBorder="1" applyAlignment="1">
      <alignment horizontal="left" vertical="center"/>
    </xf>
    <xf numFmtId="0" fontId="9" fillId="7" borderId="29" xfId="0" applyFont="1" applyFill="1" applyBorder="1" applyAlignment="1">
      <alignment horizontal="left" vertical="center"/>
    </xf>
    <xf numFmtId="0" fontId="9" fillId="7" borderId="9" xfId="0" applyFont="1" applyFill="1" applyBorder="1" applyAlignment="1">
      <alignment horizontal="left" vertical="center"/>
    </xf>
    <xf numFmtId="0" fontId="9" fillId="3" borderId="8" xfId="0" applyFont="1" applyFill="1" applyBorder="1" applyAlignment="1">
      <alignment horizontal="left" vertical="center"/>
    </xf>
    <xf numFmtId="0" fontId="9" fillId="3" borderId="29" xfId="0" applyFont="1" applyFill="1" applyBorder="1" applyAlignment="1">
      <alignment horizontal="left" vertical="center"/>
    </xf>
    <xf numFmtId="2" fontId="9" fillId="3" borderId="12" xfId="0" applyNumberFormat="1" applyFont="1" applyFill="1" applyBorder="1" applyAlignment="1">
      <alignment horizontal="center" vertical="center"/>
    </xf>
    <xf numFmtId="2" fontId="9" fillId="7" borderId="7" xfId="0" applyNumberFormat="1" applyFont="1" applyFill="1" applyBorder="1" applyAlignment="1">
      <alignment horizontal="center" vertical="center"/>
    </xf>
    <xf numFmtId="2" fontId="9" fillId="7" borderId="22" xfId="0" applyNumberFormat="1" applyFont="1" applyFill="1" applyBorder="1" applyAlignment="1">
      <alignment horizontal="center" vertical="center"/>
    </xf>
    <xf numFmtId="0" fontId="9" fillId="8" borderId="8" xfId="0" applyFont="1" applyFill="1" applyBorder="1" applyAlignment="1">
      <alignment horizontal="left" vertical="center"/>
    </xf>
    <xf numFmtId="0" fontId="9" fillId="8" borderId="9" xfId="0" applyFont="1" applyFill="1" applyBorder="1" applyAlignment="1">
      <alignment horizontal="left" vertical="center"/>
    </xf>
    <xf numFmtId="0" fontId="10" fillId="0" borderId="10" xfId="0" applyFont="1" applyBorder="1" applyAlignment="1">
      <alignment horizontal="center" vertical="center"/>
    </xf>
    <xf numFmtId="0" fontId="10" fillId="0" borderId="12" xfId="0" applyFont="1" applyBorder="1" applyAlignment="1">
      <alignment horizontal="center" vertical="center"/>
    </xf>
    <xf numFmtId="0" fontId="9" fillId="3" borderId="17" xfId="0" applyFont="1" applyFill="1" applyBorder="1" applyAlignment="1">
      <alignment horizontal="left" vertical="center"/>
    </xf>
    <xf numFmtId="0" fontId="9" fillId="3" borderId="9" xfId="0" applyFont="1" applyFill="1" applyBorder="1" applyAlignment="1">
      <alignment horizontal="left" vertical="center"/>
    </xf>
    <xf numFmtId="0" fontId="9" fillId="8" borderId="8" xfId="0" applyFont="1" applyFill="1" applyBorder="1" applyAlignment="1">
      <alignment horizontal="left" vertical="center" wrapText="1"/>
    </xf>
    <xf numFmtId="0" fontId="9" fillId="8" borderId="9" xfId="0" applyFont="1" applyFill="1" applyBorder="1" applyAlignment="1">
      <alignment horizontal="left" vertical="center" wrapText="1"/>
    </xf>
    <xf numFmtId="0" fontId="9" fillId="5" borderId="7" xfId="0" applyFont="1" applyFill="1" applyBorder="1" applyAlignment="1">
      <alignment horizontal="center" vertical="center"/>
    </xf>
    <xf numFmtId="0" fontId="9" fillId="6" borderId="7" xfId="0" applyFont="1" applyFill="1" applyBorder="1" applyAlignment="1">
      <alignment horizontal="center" vertical="center"/>
    </xf>
    <xf numFmtId="0" fontId="9" fillId="7" borderId="7" xfId="0" applyFont="1" applyFill="1" applyBorder="1" applyAlignment="1">
      <alignment horizontal="center" vertical="center"/>
    </xf>
    <xf numFmtId="0" fontId="9" fillId="3" borderId="7" xfId="0" applyFont="1" applyFill="1" applyBorder="1" applyAlignment="1">
      <alignment horizontal="center" vertical="center"/>
    </xf>
    <xf numFmtId="0" fontId="9" fillId="8" borderId="7" xfId="0" applyFont="1" applyFill="1" applyBorder="1" applyAlignment="1">
      <alignment horizontal="center" vertical="center"/>
    </xf>
    <xf numFmtId="0" fontId="9" fillId="0" borderId="7" xfId="0" applyFont="1" applyFill="1" applyBorder="1" applyAlignment="1">
      <alignment horizontal="center" vertical="center"/>
    </xf>
    <xf numFmtId="0" fontId="9" fillId="6" borderId="8" xfId="0" applyFont="1" applyFill="1" applyBorder="1" applyAlignment="1">
      <alignment horizontal="center" vertical="center"/>
    </xf>
    <xf numFmtId="0" fontId="9" fillId="6" borderId="9" xfId="0" applyFont="1" applyFill="1" applyBorder="1" applyAlignment="1">
      <alignment horizontal="center" vertical="center"/>
    </xf>
    <xf numFmtId="0" fontId="9" fillId="7" borderId="8" xfId="0" applyFont="1" applyFill="1" applyBorder="1" applyAlignment="1">
      <alignment horizontal="center" vertical="center"/>
    </xf>
    <xf numFmtId="0" fontId="9" fillId="7" borderId="29" xfId="0" applyFont="1" applyFill="1" applyBorder="1" applyAlignment="1">
      <alignment horizontal="center" vertical="center"/>
    </xf>
    <xf numFmtId="0" fontId="9" fillId="7" borderId="9" xfId="0" applyFont="1" applyFill="1" applyBorder="1" applyAlignment="1">
      <alignment horizontal="center" vertical="center"/>
    </xf>
    <xf numFmtId="0" fontId="9" fillId="8" borderId="8" xfId="0" applyFont="1" applyFill="1" applyBorder="1" applyAlignment="1">
      <alignment horizontal="center" vertical="center"/>
    </xf>
    <xf numFmtId="0" fontId="9" fillId="8" borderId="9" xfId="0" applyFont="1" applyFill="1" applyBorder="1" applyAlignment="1">
      <alignment horizontal="center" vertical="center"/>
    </xf>
    <xf numFmtId="0" fontId="10" fillId="0" borderId="7" xfId="0" applyFont="1" applyBorder="1" applyAlignment="1">
      <alignment horizontal="center" vertical="center"/>
    </xf>
    <xf numFmtId="0" fontId="5" fillId="0" borderId="0" xfId="0" applyFont="1" applyAlignment="1">
      <alignment horizontal="center" vertical="center"/>
    </xf>
    <xf numFmtId="0" fontId="0" fillId="0" borderId="1" xfId="0" applyBorder="1" applyAlignment="1">
      <alignment horizontal="left" vertical="center" wrapText="1"/>
    </xf>
    <xf numFmtId="0" fontId="0" fillId="0" borderId="31" xfId="0" applyBorder="1" applyAlignment="1">
      <alignment horizontal="left" vertical="center" wrapText="1"/>
    </xf>
    <xf numFmtId="0" fontId="5" fillId="0" borderId="0" xfId="0" applyFont="1" applyFill="1" applyAlignment="1">
      <alignment horizontal="center" vertical="center"/>
    </xf>
    <xf numFmtId="0" fontId="0" fillId="0" borderId="24" xfId="0" applyBorder="1" applyAlignment="1">
      <alignment vertical="center" textRotation="90"/>
    </xf>
    <xf numFmtId="0" fontId="0" fillId="0" borderId="24" xfId="0" applyBorder="1" applyAlignment="1">
      <alignment horizontal="center" vertical="center" textRotation="90"/>
    </xf>
    <xf numFmtId="0" fontId="0" fillId="0" borderId="0" xfId="0" applyFill="1" applyBorder="1" applyAlignment="1">
      <alignment horizontal="center"/>
    </xf>
    <xf numFmtId="0" fontId="0" fillId="0" borderId="0" xfId="0" applyFill="1" applyBorder="1" applyAlignment="1">
      <alignment horizontal="center" wrapText="1"/>
    </xf>
  </cellXfs>
  <cellStyles count="4">
    <cellStyle name="40% - Accent1" xfId="3" builtinId="31"/>
    <cellStyle name="Normal" xfId="0" builtinId="0"/>
    <cellStyle name="Normal 2" xfId="1" xr:uid="{00000000-0005-0000-0000-000002000000}"/>
    <cellStyle name="Percent" xfId="2" builtinId="5"/>
  </cellStyles>
  <dxfs count="414">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FF7C80"/>
        </patternFill>
      </fill>
    </dxf>
    <dxf>
      <fill>
        <patternFill>
          <bgColor rgb="FF92D050"/>
        </patternFill>
      </fill>
    </dxf>
    <dxf>
      <fill>
        <patternFill>
          <bgColor theme="7" tint="0.39994506668294322"/>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FF7C80"/>
        </patternFill>
      </fill>
    </dxf>
    <dxf>
      <fill>
        <patternFill>
          <bgColor rgb="FF92D050"/>
        </patternFill>
      </fill>
    </dxf>
    <dxf>
      <fill>
        <patternFill>
          <bgColor theme="7" tint="0.39994506668294322"/>
        </patternFill>
      </fill>
    </dxf>
    <dxf>
      <fill>
        <patternFill>
          <bgColor rgb="FFFF7C80"/>
        </patternFill>
      </fill>
    </dxf>
    <dxf>
      <fill>
        <patternFill>
          <bgColor rgb="FF00B050"/>
        </patternFill>
      </fill>
    </dxf>
    <dxf>
      <font>
        <strike val="0"/>
        <color auto="1"/>
      </font>
      <fill>
        <patternFill patternType="solid">
          <bgColor rgb="FFFF0000"/>
        </patternFill>
      </fill>
    </dxf>
    <dxf>
      <fill>
        <patternFill>
          <bgColor rgb="FFFFFF00"/>
        </patternFill>
      </fill>
    </dxf>
  </dxfs>
  <tableStyles count="0" defaultTableStyle="TableStyleMedium2" defaultPivotStyle="PivotStyleLight16"/>
  <colors>
    <mruColors>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eetMetadata" Target="metadata.xml"/><Relationship Id="rId4" Type="http://schemas.openxmlformats.org/officeDocument/2006/relationships/worksheet" Target="worksheets/sheet4.xml"/><Relationship Id="rId9" Type="http://schemas.openxmlformats.org/officeDocument/2006/relationships/sharedStrings" Target="sharedStrings.xml"/></Relationships>
</file>

<file path=xl/charts/_rels/chart2.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3.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4.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5.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7.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8.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9.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10.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1.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2.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3.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4.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5.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6.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17.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18.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19.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_rels/chart20.xml.rels><?xml version="1.0" encoding="UTF-8" standalone="yes"?>
<Relationships xmlns="http://schemas.openxmlformats.org/package/2006/relationships"><Relationship Id="rId2" Type="http://schemas.microsoft.com/office/2011/relationships/chartColorStyle" Target="colors19.xml"/><Relationship Id="rId1" Type="http://schemas.microsoft.com/office/2011/relationships/chartStyle" Target="style19.xml"/></Relationships>
</file>

<file path=xl/charts/_rels/chart21.xml.rels><?xml version="1.0" encoding="UTF-8" standalone="yes"?>
<Relationships xmlns="http://schemas.openxmlformats.org/package/2006/relationships"><Relationship Id="rId2" Type="http://schemas.microsoft.com/office/2011/relationships/chartColorStyle" Target="colors20.xml"/><Relationship Id="rId1" Type="http://schemas.microsoft.com/office/2011/relationships/chartStyle" Target="style20.xml"/></Relationships>
</file>

<file path=xl/charts/_rels/chart22.xml.rels><?xml version="1.0" encoding="UTF-8" standalone="yes"?>
<Relationships xmlns="http://schemas.openxmlformats.org/package/2006/relationships"><Relationship Id="rId2" Type="http://schemas.microsoft.com/office/2011/relationships/chartColorStyle" Target="colors21.xml"/><Relationship Id="rId1" Type="http://schemas.microsoft.com/office/2011/relationships/chartStyle" Target="style21.xml"/></Relationships>
</file>

<file path=xl/charts/_rels/chart23.xml.rels><?xml version="1.0" encoding="UTF-8" standalone="yes"?>
<Relationships xmlns="http://schemas.openxmlformats.org/package/2006/relationships"><Relationship Id="rId2" Type="http://schemas.microsoft.com/office/2011/relationships/chartColorStyle" Target="colors22.xml"/><Relationship Id="rId1" Type="http://schemas.microsoft.com/office/2011/relationships/chartStyle" Target="style22.xml"/></Relationships>
</file>

<file path=xl/charts/_rels/chart24.xml.rels><?xml version="1.0" encoding="UTF-8" standalone="yes"?>
<Relationships xmlns="http://schemas.openxmlformats.org/package/2006/relationships"><Relationship Id="rId2" Type="http://schemas.microsoft.com/office/2011/relationships/chartColorStyle" Target="colors23.xml"/><Relationship Id="rId1" Type="http://schemas.microsoft.com/office/2011/relationships/chartStyle" Target="style23.xml"/></Relationships>
</file>

<file path=xl/charts/_rels/chart25.xml.rels><?xml version="1.0" encoding="UTF-8" standalone="yes"?>
<Relationships xmlns="http://schemas.openxmlformats.org/package/2006/relationships"><Relationship Id="rId2" Type="http://schemas.microsoft.com/office/2011/relationships/chartColorStyle" Target="colors24.xml"/><Relationship Id="rId1" Type="http://schemas.microsoft.com/office/2011/relationships/chartStyle" Target="style24.xml"/></Relationships>
</file>

<file path=xl/charts/_rels/chart26.xml.rels><?xml version="1.0" encoding="UTF-8" standalone="yes"?>
<Relationships xmlns="http://schemas.openxmlformats.org/package/2006/relationships"><Relationship Id="rId2" Type="http://schemas.microsoft.com/office/2011/relationships/chartColorStyle" Target="colors25.xml"/><Relationship Id="rId1" Type="http://schemas.microsoft.com/office/2011/relationships/chartStyle" Target="style25.xml"/></Relationships>
</file>

<file path=xl/charts/_rels/chart27.xml.rels><?xml version="1.0" encoding="UTF-8" standalone="yes"?>
<Relationships xmlns="http://schemas.openxmlformats.org/package/2006/relationships"><Relationship Id="rId2" Type="http://schemas.microsoft.com/office/2011/relationships/chartColorStyle" Target="colors26.xml"/><Relationship Id="rId1" Type="http://schemas.microsoft.com/office/2011/relationships/chartStyle" Target="style26.xml"/></Relationships>
</file>

<file path=xl/charts/_rels/chart28.xml.rels><?xml version="1.0" encoding="UTF-8" standalone="yes"?>
<Relationships xmlns="http://schemas.openxmlformats.org/package/2006/relationships"><Relationship Id="rId2" Type="http://schemas.microsoft.com/office/2011/relationships/chartColorStyle" Target="colors27.xml"/><Relationship Id="rId1" Type="http://schemas.microsoft.com/office/2011/relationships/chartStyle" Target="style27.xml"/></Relationships>
</file>

<file path=xl/charts/_rels/chart29.xml.rels><?xml version="1.0" encoding="UTF-8" standalone="yes"?>
<Relationships xmlns="http://schemas.openxmlformats.org/package/2006/relationships"><Relationship Id="rId2" Type="http://schemas.microsoft.com/office/2011/relationships/chartColorStyle" Target="colors28.xml"/><Relationship Id="rId1" Type="http://schemas.microsoft.com/office/2011/relationships/chartStyle" Target="style28.xml"/></Relationships>
</file>

<file path=xl/charts/_rels/chart30.xml.rels><?xml version="1.0" encoding="UTF-8" standalone="yes"?>
<Relationships xmlns="http://schemas.openxmlformats.org/package/2006/relationships"><Relationship Id="rId2" Type="http://schemas.microsoft.com/office/2011/relationships/chartColorStyle" Target="colors29.xml"/><Relationship Id="rId1" Type="http://schemas.microsoft.com/office/2011/relationships/chartStyle" Target="style29.xml"/></Relationships>
</file>

<file path=xl/charts/_rels/chart31.xml.rels><?xml version="1.0" encoding="UTF-8" standalone="yes"?>
<Relationships xmlns="http://schemas.openxmlformats.org/package/2006/relationships"><Relationship Id="rId2" Type="http://schemas.microsoft.com/office/2011/relationships/chartColorStyle" Target="colors30.xml"/><Relationship Id="rId1" Type="http://schemas.microsoft.com/office/2011/relationships/chartStyle" Target="style30.xml"/></Relationships>
</file>

<file path=xl/charts/_rels/chart32.xml.rels><?xml version="1.0" encoding="UTF-8" standalone="yes"?>
<Relationships xmlns="http://schemas.openxmlformats.org/package/2006/relationships"><Relationship Id="rId2" Type="http://schemas.microsoft.com/office/2011/relationships/chartColorStyle" Target="colors31.xml"/><Relationship Id="rId1" Type="http://schemas.microsoft.com/office/2011/relationships/chartStyle" Target="style31.xml"/></Relationships>
</file>

<file path=xl/charts/_rels/chart33.xml.rels><?xml version="1.0" encoding="UTF-8" standalone="yes"?>
<Relationships xmlns="http://schemas.openxmlformats.org/package/2006/relationships"><Relationship Id="rId2" Type="http://schemas.microsoft.com/office/2011/relationships/chartColorStyle" Target="colors32.xml"/><Relationship Id="rId1" Type="http://schemas.microsoft.com/office/2011/relationships/chartStyle" Target="style32.xml"/></Relationships>
</file>

<file path=xl/charts/_rels/chart34.xml.rels><?xml version="1.0" encoding="UTF-8" standalone="yes"?>
<Relationships xmlns="http://schemas.openxmlformats.org/package/2006/relationships"><Relationship Id="rId2" Type="http://schemas.microsoft.com/office/2011/relationships/chartColorStyle" Target="colors33.xml"/><Relationship Id="rId1" Type="http://schemas.microsoft.com/office/2011/relationships/chartStyle" Target="style33.xml"/></Relationships>
</file>

<file path=xl/charts/_rels/chart35.xml.rels><?xml version="1.0" encoding="UTF-8" standalone="yes"?>
<Relationships xmlns="http://schemas.openxmlformats.org/package/2006/relationships"><Relationship Id="rId2" Type="http://schemas.microsoft.com/office/2011/relationships/chartColorStyle" Target="colors34.xml"/><Relationship Id="rId1" Type="http://schemas.microsoft.com/office/2011/relationships/chartStyle" Target="style34.xml"/></Relationships>
</file>

<file path=xl/charts/_rels/chart36.xml.rels><?xml version="1.0" encoding="UTF-8" standalone="yes"?>
<Relationships xmlns="http://schemas.openxmlformats.org/package/2006/relationships"><Relationship Id="rId2" Type="http://schemas.microsoft.com/office/2011/relationships/chartColorStyle" Target="colors35.xml"/><Relationship Id="rId1" Type="http://schemas.microsoft.com/office/2011/relationships/chartStyle" Target="style35.xml"/></Relationships>
</file>

<file path=xl/charts/_rels/chart37.xml.rels><?xml version="1.0" encoding="UTF-8" standalone="yes"?>
<Relationships xmlns="http://schemas.openxmlformats.org/package/2006/relationships"><Relationship Id="rId2" Type="http://schemas.microsoft.com/office/2011/relationships/chartColorStyle" Target="colors36.xml"/><Relationship Id="rId1" Type="http://schemas.microsoft.com/office/2011/relationships/chartStyle" Target="style36.xml"/></Relationships>
</file>

<file path=xl/charts/_rels/chart38.xml.rels><?xml version="1.0" encoding="UTF-8" standalone="yes"?>
<Relationships xmlns="http://schemas.openxmlformats.org/package/2006/relationships"><Relationship Id="rId2" Type="http://schemas.microsoft.com/office/2011/relationships/chartColorStyle" Target="colors37.xml"/><Relationship Id="rId1" Type="http://schemas.microsoft.com/office/2011/relationships/chartStyle" Target="style37.xml"/></Relationships>
</file>

<file path=xl/charts/_rels/chart39.xml.rels><?xml version="1.0" encoding="UTF-8" standalone="yes"?>
<Relationships xmlns="http://schemas.openxmlformats.org/package/2006/relationships"><Relationship Id="rId2" Type="http://schemas.microsoft.com/office/2011/relationships/chartColorStyle" Target="colors38.xml"/><Relationship Id="rId1" Type="http://schemas.microsoft.com/office/2011/relationships/chartStyle" Target="style38.xml"/></Relationships>
</file>

<file path=xl/charts/_rels/chart42.xml.rels><?xml version="1.0" encoding="UTF-8" standalone="yes"?>
<Relationships xmlns="http://schemas.openxmlformats.org/package/2006/relationships"><Relationship Id="rId2" Type="http://schemas.microsoft.com/office/2011/relationships/chartColorStyle" Target="colors39.xml"/><Relationship Id="rId1" Type="http://schemas.microsoft.com/office/2011/relationships/chartStyle" Target="style39.xml"/></Relationships>
</file>

<file path=xl/charts/_rels/chart43.xml.rels><?xml version="1.0" encoding="UTF-8" standalone="yes"?>
<Relationships xmlns="http://schemas.openxmlformats.org/package/2006/relationships"><Relationship Id="rId2" Type="http://schemas.microsoft.com/office/2011/relationships/chartColorStyle" Target="colors40.xml"/><Relationship Id="rId1" Type="http://schemas.microsoft.com/office/2011/relationships/chartStyle" Target="style40.xml"/></Relationships>
</file>

<file path=xl/charts/_rels/chart44.xml.rels><?xml version="1.0" encoding="UTF-8" standalone="yes"?>
<Relationships xmlns="http://schemas.openxmlformats.org/package/2006/relationships"><Relationship Id="rId2" Type="http://schemas.microsoft.com/office/2011/relationships/chartColorStyle" Target="colors41.xml"/><Relationship Id="rId1" Type="http://schemas.microsoft.com/office/2011/relationships/chartStyle" Target="style41.xml"/></Relationships>
</file>

<file path=xl/charts/_rels/chart45.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42.xml"/><Relationship Id="rId1" Type="http://schemas.microsoft.com/office/2011/relationships/chartStyle" Target="style42.xml"/></Relationships>
</file>

<file path=xl/charts/_rels/chart46.xml.rels><?xml version="1.0" encoding="UTF-8" standalone="yes"?>
<Relationships xmlns="http://schemas.openxmlformats.org/package/2006/relationships"><Relationship Id="rId2" Type="http://schemas.microsoft.com/office/2011/relationships/chartColorStyle" Target="colors43.xml"/><Relationship Id="rId1" Type="http://schemas.microsoft.com/office/2011/relationships/chartStyle" Target="style43.xml"/></Relationships>
</file>

<file path=xl/charts/_rels/chart47.xml.rels><?xml version="1.0" encoding="UTF-8" standalone="yes"?>
<Relationships xmlns="http://schemas.openxmlformats.org/package/2006/relationships"><Relationship Id="rId3" Type="http://schemas.openxmlformats.org/officeDocument/2006/relationships/chartUserShapes" Target="../drawings/drawing4.xml"/><Relationship Id="rId2" Type="http://schemas.microsoft.com/office/2011/relationships/chartColorStyle" Target="colors44.xml"/><Relationship Id="rId1" Type="http://schemas.microsoft.com/office/2011/relationships/chartStyle" Target="style44.xml"/></Relationships>
</file>

<file path=xl/charts/_rels/chart48.xml.rels><?xml version="1.0" encoding="UTF-8" standalone="yes"?>
<Relationships xmlns="http://schemas.openxmlformats.org/package/2006/relationships"><Relationship Id="rId2" Type="http://schemas.microsoft.com/office/2011/relationships/chartColorStyle" Target="colors45.xml"/><Relationship Id="rId1" Type="http://schemas.microsoft.com/office/2011/relationships/chartStyle" Target="style45.xml"/></Relationships>
</file>

<file path=xl/charts/_rels/chart49.xml.rels><?xml version="1.0" encoding="UTF-8" standalone="yes"?>
<Relationships xmlns="http://schemas.openxmlformats.org/package/2006/relationships"><Relationship Id="rId2" Type="http://schemas.microsoft.com/office/2011/relationships/chartColorStyle" Target="colors46.xml"/><Relationship Id="rId1" Type="http://schemas.microsoft.com/office/2011/relationships/chartStyle" Target="style46.xml"/></Relationships>
</file>

<file path=xl/charts/_rels/chart50.xml.rels><?xml version="1.0" encoding="UTF-8" standalone="yes"?>
<Relationships xmlns="http://schemas.openxmlformats.org/package/2006/relationships"><Relationship Id="rId2" Type="http://schemas.microsoft.com/office/2011/relationships/chartColorStyle" Target="colors47.xml"/><Relationship Id="rId1" Type="http://schemas.microsoft.com/office/2011/relationships/chartStyle" Target="style47.xml"/></Relationships>
</file>

<file path=xl/charts/_rels/chart51.xml.rels><?xml version="1.0" encoding="UTF-8" standalone="yes"?>
<Relationships xmlns="http://schemas.openxmlformats.org/package/2006/relationships"><Relationship Id="rId2" Type="http://schemas.microsoft.com/office/2011/relationships/chartColorStyle" Target="colors48.xml"/><Relationship Id="rId1" Type="http://schemas.microsoft.com/office/2011/relationships/chartStyle" Target="style48.xml"/></Relationships>
</file>

<file path=xl/charts/_rels/chart52.xml.rels><?xml version="1.0" encoding="UTF-8" standalone="yes"?>
<Relationships xmlns="http://schemas.openxmlformats.org/package/2006/relationships"><Relationship Id="rId2" Type="http://schemas.microsoft.com/office/2011/relationships/chartColorStyle" Target="colors49.xml"/><Relationship Id="rId1" Type="http://schemas.microsoft.com/office/2011/relationships/chartStyle" Target="style49.xml"/></Relationships>
</file>

<file path=xl/charts/_rels/chart53.xml.rels><?xml version="1.0" encoding="UTF-8" standalone="yes"?>
<Relationships xmlns="http://schemas.openxmlformats.org/package/2006/relationships"><Relationship Id="rId2" Type="http://schemas.microsoft.com/office/2011/relationships/chartColorStyle" Target="colors50.xml"/><Relationship Id="rId1" Type="http://schemas.microsoft.com/office/2011/relationships/chartStyle" Target="style50.xml"/></Relationships>
</file>

<file path=xl/charts/_rels/chart54.xml.rels><?xml version="1.0" encoding="UTF-8" standalone="yes"?>
<Relationships xmlns="http://schemas.openxmlformats.org/package/2006/relationships"><Relationship Id="rId2" Type="http://schemas.microsoft.com/office/2011/relationships/chartColorStyle" Target="colors51.xml"/><Relationship Id="rId1" Type="http://schemas.microsoft.com/office/2011/relationships/chartStyle" Target="style51.xml"/></Relationships>
</file>

<file path=xl/charts/_rels/chart55.xml.rels><?xml version="1.0" encoding="UTF-8" standalone="yes"?>
<Relationships xmlns="http://schemas.openxmlformats.org/package/2006/relationships"><Relationship Id="rId2" Type="http://schemas.microsoft.com/office/2011/relationships/chartColorStyle" Target="colors52.xml"/><Relationship Id="rId1" Type="http://schemas.microsoft.com/office/2011/relationships/chartStyle" Target="style52.xml"/></Relationships>
</file>

<file path=xl/charts/_rels/chart56.xml.rels><?xml version="1.0" encoding="UTF-8" standalone="yes"?>
<Relationships xmlns="http://schemas.openxmlformats.org/package/2006/relationships"><Relationship Id="rId2" Type="http://schemas.microsoft.com/office/2011/relationships/chartColorStyle" Target="colors53.xml"/><Relationship Id="rId1" Type="http://schemas.microsoft.com/office/2011/relationships/chartStyle" Target="style53.xml"/></Relationships>
</file>

<file path=xl/charts/_rels/chart57.xml.rels><?xml version="1.0" encoding="UTF-8" standalone="yes"?>
<Relationships xmlns="http://schemas.openxmlformats.org/package/2006/relationships"><Relationship Id="rId2" Type="http://schemas.microsoft.com/office/2011/relationships/chartColorStyle" Target="colors54.xml"/><Relationship Id="rId1" Type="http://schemas.microsoft.com/office/2011/relationships/chartStyle" Target="style54.xml"/></Relationships>
</file>

<file path=xl/charts/_rels/chart58.xml.rels><?xml version="1.0" encoding="UTF-8" standalone="yes"?>
<Relationships xmlns="http://schemas.openxmlformats.org/package/2006/relationships"><Relationship Id="rId2" Type="http://schemas.microsoft.com/office/2011/relationships/chartColorStyle" Target="colors55.xml"/><Relationship Id="rId1" Type="http://schemas.microsoft.com/office/2011/relationships/chartStyle" Target="style5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0" i="0" u="none" strike="noStrike" kern="1200" spc="0" baseline="0">
                <a:solidFill>
                  <a:schemeClr val="tx1">
                    <a:lumMod val="65000"/>
                    <a:lumOff val="35000"/>
                  </a:schemeClr>
                </a:solidFill>
                <a:latin typeface="+mn-lt"/>
                <a:ea typeface="+mn-ea"/>
                <a:cs typeface="+mn-cs"/>
              </a:defRPr>
            </a:pPr>
            <a:r>
              <a:rPr lang="en-US" sz="1600"/>
              <a:t>Bank Height Ratio (BHR)</a:t>
            </a:r>
          </a:p>
        </c:rich>
      </c:tx>
      <c:overlay val="0"/>
      <c:spPr>
        <a:noFill/>
        <a:ln>
          <a:noFill/>
        </a:ln>
        <a:effectLst/>
      </c:spPr>
    </c:title>
    <c:autoTitleDeleted val="0"/>
    <c:plotArea>
      <c:layout/>
      <c:scatterChart>
        <c:scatterStyle val="lineMarker"/>
        <c:varyColors val="0"/>
        <c:ser>
          <c:idx val="0"/>
          <c:order val="0"/>
          <c:tx>
            <c:v>BHR</c:v>
          </c:tx>
          <c:spPr>
            <a:ln>
              <a:noFill/>
            </a:ln>
          </c:spPr>
          <c:marker>
            <c:symbol val="circle"/>
            <c:size val="5"/>
            <c:spPr>
              <a:ln>
                <a:solidFill>
                  <a:schemeClr val="accent1"/>
                </a:solidFill>
              </a:ln>
            </c:spPr>
          </c:marker>
          <c:trendline>
            <c:spPr>
              <a:ln w="19050" cap="rnd">
                <a:solidFill>
                  <a:schemeClr val="accent1"/>
                </a:solidFill>
                <a:prstDash val="sysDot"/>
              </a:ln>
              <a:effectLst/>
            </c:spPr>
            <c:trendlineType val="linear"/>
            <c:forward val="0.23"/>
            <c:dispRSqr val="0"/>
            <c:dispEq val="1"/>
            <c:trendlineLbl>
              <c:layout>
                <c:manualLayout>
                  <c:x val="-5.7337782229159515E-2"/>
                  <c:y val="-0.45744131092511209"/>
                </c:manualLayout>
              </c:layout>
              <c:numFmt formatCode="#,##0.0000"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Curves'!$L$10:$Q$10</c:f>
              <c:numCache>
                <c:formatCode>General</c:formatCode>
                <c:ptCount val="6"/>
                <c:pt idx="2" formatCode="0.0">
                  <c:v>1.5</c:v>
                </c:pt>
                <c:pt idx="5" formatCode="0.0">
                  <c:v>1</c:v>
                </c:pt>
              </c:numCache>
            </c:numRef>
          </c:xVal>
          <c:yVal>
            <c:numRef>
              <c:f>'Reference Curves'!$L$11:$Q$11</c:f>
              <c:numCache>
                <c:formatCode>0.00</c:formatCode>
                <c:ptCount val="6"/>
                <c:pt idx="0">
                  <c:v>0</c:v>
                </c:pt>
                <c:pt idx="1">
                  <c:v>0.28999999999999998</c:v>
                </c:pt>
                <c:pt idx="2">
                  <c:v>0.3</c:v>
                </c:pt>
                <c:pt idx="3">
                  <c:v>0.69</c:v>
                </c:pt>
                <c:pt idx="4">
                  <c:v>0.7</c:v>
                </c:pt>
                <c:pt idx="5">
                  <c:v>1</c:v>
                </c:pt>
              </c:numCache>
            </c:numRef>
          </c:yVal>
          <c:smooth val="0"/>
          <c:extLst>
            <c:ext xmlns:c16="http://schemas.microsoft.com/office/drawing/2014/chart" uri="{C3380CC4-5D6E-409C-BE32-E72D297353CC}">
              <c16:uniqueId val="{00000003-31E3-4BFE-895C-67448B7E7DE2}"/>
            </c:ext>
          </c:extLst>
        </c:ser>
        <c:dLbls>
          <c:showLegendKey val="0"/>
          <c:showVal val="0"/>
          <c:showCatName val="0"/>
          <c:showSerName val="0"/>
          <c:showPercent val="0"/>
          <c:showBubbleSize val="0"/>
        </c:dLbls>
        <c:axId val="419254728"/>
        <c:axId val="419247280"/>
      </c:scatterChart>
      <c:valAx>
        <c:axId val="419254728"/>
        <c:scaling>
          <c:orientation val="minMax"/>
          <c:max val="1.8"/>
          <c:min val="1"/>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(Ratio)</a:t>
                </a:r>
              </a:p>
            </c:rich>
          </c:tx>
          <c:overlay val="0"/>
          <c:spPr>
            <a:noFill/>
            <a:ln>
              <a:noFill/>
            </a:ln>
            <a:effectLst/>
          </c:sp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crossAx val="419247280"/>
        <c:crosses val="autoZero"/>
        <c:crossBetween val="midCat"/>
      </c:valAx>
      <c:valAx>
        <c:axId val="419247280"/>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a:t>
                </a:r>
                <a:r>
                  <a:rPr lang="en-US" sz="1100" baseline="0"/>
                  <a:t> Value</a:t>
                </a:r>
                <a:endParaRPr lang="en-US" sz="1100"/>
              </a:p>
            </c:rich>
          </c:tx>
          <c:layout>
            <c:manualLayout>
              <c:xMode val="edge"/>
              <c:yMode val="edge"/>
              <c:x val="2.5144911728220403E-2"/>
              <c:y val="0.3955178180195148"/>
            </c:manualLayout>
          </c:layout>
          <c:overlay val="0"/>
          <c:spPr>
            <a:noFill/>
            <a:ln>
              <a:noFill/>
            </a:ln>
            <a:effectLst/>
          </c:sp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crossAx val="419254728"/>
        <c:crosses val="autoZero"/>
        <c:crossBetween val="midCat"/>
      </c:valAx>
    </c:plotArea>
    <c:plotVisOnly val="1"/>
    <c:dispBlanksAs val="gap"/>
    <c:showDLblsOverMax val="0"/>
  </c:chart>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ER</a:t>
            </a:r>
            <a:r>
              <a:rPr lang="en-US" baseline="0"/>
              <a:t> for C Streams</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poly"/>
            <c:order val="2"/>
            <c:dispRSqr val="0"/>
            <c:dispEq val="1"/>
            <c:trendlineLbl>
              <c:layout>
                <c:manualLayout>
                  <c:x val="0.23099610363769624"/>
                  <c:y val="0.11535453288745783"/>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Curves'!$L$44:$P$44</c:f>
              <c:numCache>
                <c:formatCode>0.0</c:formatCode>
                <c:ptCount val="5"/>
                <c:pt idx="0">
                  <c:v>1</c:v>
                </c:pt>
                <c:pt idx="4">
                  <c:v>2.2000000000000002</c:v>
                </c:pt>
              </c:numCache>
            </c:numRef>
          </c:xVal>
          <c:yVal>
            <c:numRef>
              <c:f>'Reference Curves'!$L$45:$P$45</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0-1EEA-4BDA-8E2E-1D9F09529777}"/>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4.6576083769090969E-2"/>
                  <c:y val="7.8595561160812538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Curves'!$P$44:$Q$44</c:f>
              <c:numCache>
                <c:formatCode>0.0</c:formatCode>
                <c:ptCount val="2"/>
                <c:pt idx="0">
                  <c:v>2.2000000000000002</c:v>
                </c:pt>
                <c:pt idx="1">
                  <c:v>7.3</c:v>
                </c:pt>
              </c:numCache>
            </c:numRef>
          </c:xVal>
          <c:yVal>
            <c:numRef>
              <c:f>'Reference Curves'!$P$45:$Q$45</c:f>
              <c:numCache>
                <c:formatCode>0.00</c:formatCode>
                <c:ptCount val="2"/>
                <c:pt idx="0">
                  <c:v>0.7</c:v>
                </c:pt>
                <c:pt idx="1">
                  <c:v>1</c:v>
                </c:pt>
              </c:numCache>
            </c:numRef>
          </c:yVal>
          <c:smooth val="0"/>
          <c:extLst>
            <c:ext xmlns:c16="http://schemas.microsoft.com/office/drawing/2014/chart" uri="{C3380CC4-5D6E-409C-BE32-E72D297353CC}">
              <c16:uniqueId val="{00000000-FBB7-4035-A17D-E0D766088381}"/>
            </c:ext>
          </c:extLst>
        </c:ser>
        <c:dLbls>
          <c:showLegendKey val="0"/>
          <c:showVal val="0"/>
          <c:showCatName val="0"/>
          <c:showSerName val="0"/>
          <c:showPercent val="0"/>
          <c:showBubbleSize val="0"/>
        </c:dLbls>
        <c:axId val="363176976"/>
        <c:axId val="363177368"/>
      </c:scatterChart>
      <c:valAx>
        <c:axId val="363176976"/>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(Ratio)</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3177368"/>
        <c:crosses val="autoZero"/>
        <c:crossBetween val="midCat"/>
      </c:valAx>
      <c:valAx>
        <c:axId val="363177368"/>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3176976"/>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ER for B Streams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poly"/>
            <c:order val="2"/>
            <c:dispRSqr val="0"/>
            <c:dispEq val="1"/>
            <c:trendlineLbl>
              <c:layout>
                <c:manualLayout>
                  <c:x val="0.14783553386052548"/>
                  <c:y val="0.13086843129539427"/>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Curves'!$L$112:$P$112</c:f>
              <c:numCache>
                <c:formatCode>0.0</c:formatCode>
                <c:ptCount val="5"/>
                <c:pt idx="0">
                  <c:v>1</c:v>
                </c:pt>
                <c:pt idx="4">
                  <c:v>1.4</c:v>
                </c:pt>
              </c:numCache>
            </c:numRef>
          </c:xVal>
          <c:yVal>
            <c:numRef>
              <c:f>'Reference Curves'!$L$113:$P$113</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0-B511-473E-8345-F7FDAF1C4433}"/>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0.18748772719740653"/>
                  <c:y val="1.1763691397417186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Curves'!$P$112:$Q$112</c:f>
              <c:numCache>
                <c:formatCode>0.0</c:formatCode>
                <c:ptCount val="2"/>
                <c:pt idx="0">
                  <c:v>1.4</c:v>
                </c:pt>
                <c:pt idx="1">
                  <c:v>2</c:v>
                </c:pt>
              </c:numCache>
            </c:numRef>
          </c:xVal>
          <c:yVal>
            <c:numRef>
              <c:f>'Reference Curves'!$P$113:$Q$113</c:f>
              <c:numCache>
                <c:formatCode>0.00</c:formatCode>
                <c:ptCount val="2"/>
                <c:pt idx="0">
                  <c:v>0.7</c:v>
                </c:pt>
                <c:pt idx="1">
                  <c:v>1</c:v>
                </c:pt>
              </c:numCache>
            </c:numRef>
          </c:yVal>
          <c:smooth val="0"/>
          <c:extLst>
            <c:ext xmlns:c16="http://schemas.microsoft.com/office/drawing/2014/chart" uri="{C3380CC4-5D6E-409C-BE32-E72D297353CC}">
              <c16:uniqueId val="{00000000-EF40-4FA8-8C0D-00C8C3EA5E04}"/>
            </c:ext>
          </c:extLst>
        </c:ser>
        <c:dLbls>
          <c:showLegendKey val="0"/>
          <c:showVal val="0"/>
          <c:showCatName val="0"/>
          <c:showSerName val="0"/>
          <c:showPercent val="0"/>
          <c:showBubbleSize val="0"/>
        </c:dLbls>
        <c:axId val="363176192"/>
        <c:axId val="363178936"/>
      </c:scatterChart>
      <c:valAx>
        <c:axId val="363176192"/>
        <c:scaling>
          <c:orientation val="minMax"/>
          <c:min val="1"/>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(Ratio)</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3178936"/>
        <c:crosses val="autoZero"/>
        <c:crossBetween val="midCat"/>
      </c:valAx>
      <c:valAx>
        <c:axId val="363178936"/>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3176192"/>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LWDI</a:t>
            </a:r>
            <a:r>
              <a:rPr lang="en-US" baseline="0"/>
              <a:t> </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strRef>
              <c:f>'Reference Curves'!$U$14</c:f>
              <c:strCache>
                <c:ptCount val="1"/>
                <c:pt idx="0">
                  <c:v>NF &amp; FAR</c:v>
                </c:pt>
              </c:strCache>
            </c:strRef>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poly"/>
            <c:order val="2"/>
            <c:dispRSqr val="0"/>
            <c:dispEq val="1"/>
            <c:trendlineLbl>
              <c:layout>
                <c:manualLayout>
                  <c:x val="0.19034127660838904"/>
                  <c:y val="0.20976357180695876"/>
                </c:manualLayout>
              </c:layout>
              <c:numFmt formatCode="#,##0.000000"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Curves'!$U$10:$Y$10</c:f>
              <c:numCache>
                <c:formatCode>General</c:formatCode>
                <c:ptCount val="5"/>
                <c:pt idx="0">
                  <c:v>0</c:v>
                </c:pt>
                <c:pt idx="4">
                  <c:v>355</c:v>
                </c:pt>
              </c:numCache>
            </c:numRef>
          </c:xVal>
          <c:yVal>
            <c:numRef>
              <c:f>'Reference Curves'!$U$11:$Y$11</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0-7D9C-4895-B98E-45CEF21B931D}"/>
            </c:ext>
          </c:extLst>
        </c:ser>
        <c:ser>
          <c:idx val="1"/>
          <c:order val="1"/>
          <c:tx>
            <c:strRef>
              <c:f>'Reference Curves'!$V$14</c:f>
              <c:strCache>
                <c:ptCount val="1"/>
                <c:pt idx="0">
                  <c:v>F</c:v>
                </c:pt>
              </c:strCache>
            </c:strRef>
          </c:tx>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3.1943112230754432E-2"/>
                  <c:y val="0.15571479751378001"/>
                </c:manualLayout>
              </c:layout>
              <c:numFmt formatCode="#,##0.000000"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Curves'!$Y$10:$Z$10</c:f>
              <c:numCache>
                <c:formatCode>General</c:formatCode>
                <c:ptCount val="2"/>
                <c:pt idx="0">
                  <c:v>355</c:v>
                </c:pt>
                <c:pt idx="1">
                  <c:v>731</c:v>
                </c:pt>
              </c:numCache>
            </c:numRef>
          </c:xVal>
          <c:yVal>
            <c:numRef>
              <c:f>'Reference Curves'!$Y$11:$Z$11</c:f>
              <c:numCache>
                <c:formatCode>0.00</c:formatCode>
                <c:ptCount val="2"/>
                <c:pt idx="0">
                  <c:v>0.7</c:v>
                </c:pt>
                <c:pt idx="1">
                  <c:v>1</c:v>
                </c:pt>
              </c:numCache>
            </c:numRef>
          </c:yVal>
          <c:smooth val="0"/>
          <c:extLst>
            <c:ext xmlns:c16="http://schemas.microsoft.com/office/drawing/2014/chart" uri="{C3380CC4-5D6E-409C-BE32-E72D297353CC}">
              <c16:uniqueId val="{00000001-2777-4E45-B140-67A5ECEFF695}"/>
            </c:ext>
          </c:extLst>
        </c:ser>
        <c:dLbls>
          <c:showLegendKey val="0"/>
          <c:showVal val="0"/>
          <c:showCatName val="0"/>
          <c:showSerName val="0"/>
          <c:showPercent val="0"/>
          <c:showBubbleSize val="0"/>
        </c:dLbls>
        <c:axId val="363179720"/>
        <c:axId val="363174232"/>
      </c:scatterChart>
      <c:valAx>
        <c:axId val="363179720"/>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b="0" i="0" baseline="0">
                    <a:effectLst/>
                  </a:rPr>
                  <a:t>Field Value (Unitless) </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3174232"/>
        <c:crosses val="autoZero"/>
        <c:crossBetween val="midCat"/>
      </c:valAx>
      <c:valAx>
        <c:axId val="363174232"/>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3179720"/>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Pool Spacing Ratio for A and</a:t>
            </a:r>
            <a:r>
              <a:rPr lang="en-US" baseline="0"/>
              <a:t> </a:t>
            </a:r>
            <a:r>
              <a:rPr lang="en-US"/>
              <a:t>B Stream Types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5.9330188576650768E-2"/>
                  <c:y val="-0.17804334886023171"/>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accent1"/>
                      </a:solidFill>
                      <a:latin typeface="+mn-lt"/>
                      <a:ea typeface="+mn-ea"/>
                      <a:cs typeface="+mn-cs"/>
                    </a:defRPr>
                  </a:pPr>
                  <a:endParaRPr lang="en-US"/>
                </a:p>
              </c:txPr>
            </c:trendlineLbl>
          </c:trendline>
          <c:xVal>
            <c:numRef>
              <c:f>'Reference Curves'!$U$497:$Y$497</c:f>
              <c:numCache>
                <c:formatCode>0.0</c:formatCode>
                <c:ptCount val="5"/>
                <c:pt idx="0">
                  <c:v>6.5</c:v>
                </c:pt>
                <c:pt idx="4">
                  <c:v>5</c:v>
                </c:pt>
              </c:numCache>
            </c:numRef>
          </c:xVal>
          <c:yVal>
            <c:numRef>
              <c:f>'Reference Curves'!$U$498:$Y$498</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0-BE28-463C-9C48-4A55EAF8BF3E}"/>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5.6954558528436873E-2"/>
                  <c:y val="-0.10006110498405306"/>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accent2"/>
                      </a:solidFill>
                      <a:latin typeface="+mn-lt"/>
                      <a:ea typeface="+mn-ea"/>
                      <a:cs typeface="+mn-cs"/>
                    </a:defRPr>
                  </a:pPr>
                  <a:endParaRPr lang="en-US"/>
                </a:p>
              </c:txPr>
            </c:trendlineLbl>
          </c:trendline>
          <c:xVal>
            <c:numRef>
              <c:f>'Reference Curves'!$Y$497:$Z$497</c:f>
              <c:numCache>
                <c:formatCode>0.0</c:formatCode>
                <c:ptCount val="2"/>
                <c:pt idx="0">
                  <c:v>5</c:v>
                </c:pt>
                <c:pt idx="1">
                  <c:v>4</c:v>
                </c:pt>
              </c:numCache>
            </c:numRef>
          </c:xVal>
          <c:yVal>
            <c:numRef>
              <c:f>'Reference Curves'!$Y$498:$Z$498</c:f>
              <c:numCache>
                <c:formatCode>0.00</c:formatCode>
                <c:ptCount val="2"/>
                <c:pt idx="0">
                  <c:v>0.7</c:v>
                </c:pt>
                <c:pt idx="1">
                  <c:v>1</c:v>
                </c:pt>
              </c:numCache>
            </c:numRef>
          </c:yVal>
          <c:smooth val="0"/>
          <c:extLst>
            <c:ext xmlns:c16="http://schemas.microsoft.com/office/drawing/2014/chart" uri="{C3380CC4-5D6E-409C-BE32-E72D297353CC}">
              <c16:uniqueId val="{00000002-25D9-4A1C-8687-88EBEA1DB961}"/>
            </c:ext>
          </c:extLst>
        </c:ser>
        <c:dLbls>
          <c:showLegendKey val="0"/>
          <c:showVal val="0"/>
          <c:showCatName val="0"/>
          <c:showSerName val="0"/>
          <c:showPercent val="0"/>
          <c:showBubbleSize val="0"/>
        </c:dLbls>
        <c:axId val="363178152"/>
        <c:axId val="363178544"/>
      </c:scatterChart>
      <c:valAx>
        <c:axId val="363178152"/>
        <c:scaling>
          <c:orientation val="minMax"/>
          <c:max val="1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a:t>
                </a:r>
                <a:r>
                  <a:rPr lang="en-US" sz="1100" b="0" i="0" u="none" strike="noStrike" baseline="0">
                    <a:effectLst/>
                  </a:rPr>
                  <a:t>Ratio</a:t>
                </a:r>
                <a:r>
                  <a:rPr lang="en-US" sz="1100"/>
                  <a:t>)</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3178544"/>
        <c:crosses val="autoZero"/>
        <c:crossBetween val="midCat"/>
      </c:valAx>
      <c:valAx>
        <c:axId val="363178544"/>
        <c:scaling>
          <c:orientation val="minMax"/>
          <c:max val="1"/>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3178152"/>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Pool Spacing Ratio for Bc Stream Types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poly"/>
            <c:order val="2"/>
            <c:dispRSqr val="0"/>
            <c:dispEq val="1"/>
            <c:trendlineLbl>
              <c:layout>
                <c:manualLayout>
                  <c:x val="-0.13596772690755238"/>
                  <c:y val="-0.27626630653949674"/>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Curves'!$U$530:$Y$530</c:f>
              <c:numCache>
                <c:formatCode>0.0</c:formatCode>
                <c:ptCount val="5"/>
                <c:pt idx="0">
                  <c:v>8</c:v>
                </c:pt>
                <c:pt idx="4">
                  <c:v>6</c:v>
                </c:pt>
              </c:numCache>
            </c:numRef>
          </c:xVal>
          <c:yVal>
            <c:numRef>
              <c:f>'Reference Curves'!$U$531:$Y$531</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1-82D0-428D-B895-AAEB0FC68F1A}"/>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5.715594308278979E-2"/>
                  <c:y val="-0.1132499132506166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Curves'!$Y$530:$Z$530</c:f>
              <c:numCache>
                <c:formatCode>0.0</c:formatCode>
                <c:ptCount val="2"/>
                <c:pt idx="0">
                  <c:v>6</c:v>
                </c:pt>
                <c:pt idx="1">
                  <c:v>5</c:v>
                </c:pt>
              </c:numCache>
            </c:numRef>
          </c:xVal>
          <c:yVal>
            <c:numRef>
              <c:f>'Reference Curves'!$Y$531:$Z$531</c:f>
              <c:numCache>
                <c:formatCode>0.00</c:formatCode>
                <c:ptCount val="2"/>
                <c:pt idx="0">
                  <c:v>0.7</c:v>
                </c:pt>
                <c:pt idx="1">
                  <c:v>1</c:v>
                </c:pt>
              </c:numCache>
            </c:numRef>
          </c:yVal>
          <c:smooth val="0"/>
          <c:extLst>
            <c:ext xmlns:c16="http://schemas.microsoft.com/office/drawing/2014/chart" uri="{C3380CC4-5D6E-409C-BE32-E72D297353CC}">
              <c16:uniqueId val="{00000002-546D-4672-8DC4-60452FAAF64D}"/>
            </c:ext>
          </c:extLst>
        </c:ser>
        <c:dLbls>
          <c:showLegendKey val="0"/>
          <c:showVal val="0"/>
          <c:showCatName val="0"/>
          <c:showSerName val="0"/>
          <c:showPercent val="0"/>
          <c:showBubbleSize val="0"/>
        </c:dLbls>
        <c:axId val="363180896"/>
        <c:axId val="384804016"/>
      </c:scatterChart>
      <c:valAx>
        <c:axId val="363180896"/>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a:t>
                </a:r>
                <a:r>
                  <a:rPr lang="en-US" sz="1100" baseline="0"/>
                  <a:t> (</a:t>
                </a:r>
                <a:r>
                  <a:rPr lang="en-US" sz="1100" b="0" i="0" u="none" strike="noStrike" baseline="0">
                    <a:effectLst/>
                  </a:rPr>
                  <a:t>Ratio</a:t>
                </a:r>
                <a:r>
                  <a:rPr lang="en-US" sz="1100" baseline="0"/>
                  <a:t>)</a:t>
                </a:r>
                <a:endParaRPr lang="en-US" sz="1100"/>
              </a:p>
            </c:rich>
          </c:tx>
          <c:layout>
            <c:manualLayout>
              <c:xMode val="edge"/>
              <c:yMode val="edge"/>
              <c:x val="0.43117436623724159"/>
              <c:y val="0.9342156997937705"/>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804016"/>
        <c:crosses val="autoZero"/>
        <c:crossBetween val="midCat"/>
      </c:valAx>
      <c:valAx>
        <c:axId val="384804016"/>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3180896"/>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baseline="0">
                <a:effectLst/>
              </a:rPr>
              <a:t>Pool Spacing Ratio for C and E Stream Types </a:t>
            </a:r>
            <a:endParaRPr lang="en-US" sz="1400">
              <a:effectLst/>
            </a:endParaRP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poly"/>
            <c:order val="2"/>
            <c:dispRSqr val="0"/>
            <c:dispEq val="1"/>
            <c:trendlineLbl>
              <c:layout>
                <c:manualLayout>
                  <c:x val="-8.0634508399984831E-2"/>
                  <c:y val="0.15262996941896023"/>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Curves'!$U$562:$Z$562</c:f>
              <c:numCache>
                <c:formatCode>0.0</c:formatCode>
                <c:ptCount val="6"/>
                <c:pt idx="0">
                  <c:v>1</c:v>
                </c:pt>
                <c:pt idx="5">
                  <c:v>3.5</c:v>
                </c:pt>
              </c:numCache>
            </c:numRef>
          </c:xVal>
          <c:yVal>
            <c:numRef>
              <c:f>'Reference Curves'!$U$564:$Z$564</c:f>
              <c:numCache>
                <c:formatCode>0.00</c:formatCode>
                <c:ptCount val="6"/>
                <c:pt idx="0">
                  <c:v>0</c:v>
                </c:pt>
                <c:pt idx="1">
                  <c:v>0.28999999999999998</c:v>
                </c:pt>
                <c:pt idx="2">
                  <c:v>0.3</c:v>
                </c:pt>
                <c:pt idx="3">
                  <c:v>0.69</c:v>
                </c:pt>
                <c:pt idx="4">
                  <c:v>0.7</c:v>
                </c:pt>
                <c:pt idx="5">
                  <c:v>1</c:v>
                </c:pt>
              </c:numCache>
            </c:numRef>
          </c:yVal>
          <c:smooth val="0"/>
          <c:extLst>
            <c:ext xmlns:c16="http://schemas.microsoft.com/office/drawing/2014/chart" uri="{C3380CC4-5D6E-409C-BE32-E72D297353CC}">
              <c16:uniqueId val="{00000000-C14F-47BE-9206-E7937E692AD6}"/>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poly"/>
            <c:order val="2"/>
            <c:dispRSqr val="0"/>
            <c:dispEq val="1"/>
            <c:trendlineLbl>
              <c:layout>
                <c:manualLayout>
                  <c:x val="-0.17398246539813272"/>
                  <c:y val="-0.44393484071371814"/>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Curves'!$U$563:$Z$563</c:f>
              <c:numCache>
                <c:formatCode>0.0</c:formatCode>
                <c:ptCount val="6"/>
                <c:pt idx="0">
                  <c:v>9</c:v>
                </c:pt>
                <c:pt idx="5">
                  <c:v>6</c:v>
                </c:pt>
              </c:numCache>
            </c:numRef>
          </c:xVal>
          <c:yVal>
            <c:numRef>
              <c:f>'Reference Curves'!$U$564:$Z$564</c:f>
              <c:numCache>
                <c:formatCode>0.00</c:formatCode>
                <c:ptCount val="6"/>
                <c:pt idx="0">
                  <c:v>0</c:v>
                </c:pt>
                <c:pt idx="1">
                  <c:v>0.28999999999999998</c:v>
                </c:pt>
                <c:pt idx="2">
                  <c:v>0.3</c:v>
                </c:pt>
                <c:pt idx="3">
                  <c:v>0.69</c:v>
                </c:pt>
                <c:pt idx="4">
                  <c:v>0.7</c:v>
                </c:pt>
                <c:pt idx="5">
                  <c:v>1</c:v>
                </c:pt>
              </c:numCache>
            </c:numRef>
          </c:yVal>
          <c:smooth val="0"/>
          <c:extLst>
            <c:ext xmlns:c16="http://schemas.microsoft.com/office/drawing/2014/chart" uri="{C3380CC4-5D6E-409C-BE32-E72D297353CC}">
              <c16:uniqueId val="{00000001-C14F-47BE-9206-E7937E692AD6}"/>
            </c:ext>
          </c:extLst>
        </c:ser>
        <c:ser>
          <c:idx val="2"/>
          <c:order val="2"/>
          <c:tx>
            <c:v>Crest</c:v>
          </c:tx>
          <c:spPr>
            <a:ln w="25400" cap="rnd">
              <a:solidFill>
                <a:srgbClr val="FF0000"/>
              </a:solidFill>
              <a:round/>
            </a:ln>
            <a:effectLst/>
          </c:spPr>
          <c:marker>
            <c:symbol val="none"/>
          </c:marker>
          <c:xVal>
            <c:numRef>
              <c:f>'Reference Curves'!$Z$562:$Z$563</c:f>
              <c:numCache>
                <c:formatCode>0.0</c:formatCode>
                <c:ptCount val="2"/>
                <c:pt idx="0">
                  <c:v>3.5</c:v>
                </c:pt>
                <c:pt idx="1">
                  <c:v>6</c:v>
                </c:pt>
              </c:numCache>
            </c:numRef>
          </c:xVal>
          <c:yVal>
            <c:numRef>
              <c:f>('Reference Curves'!$Z$564,'Reference Curves'!$Z$564)</c:f>
              <c:numCache>
                <c:formatCode>0.00</c:formatCode>
                <c:ptCount val="2"/>
                <c:pt idx="0">
                  <c:v>1</c:v>
                </c:pt>
                <c:pt idx="1">
                  <c:v>1</c:v>
                </c:pt>
              </c:numCache>
            </c:numRef>
          </c:yVal>
          <c:smooth val="0"/>
          <c:extLst>
            <c:ext xmlns:c16="http://schemas.microsoft.com/office/drawing/2014/chart" uri="{C3380CC4-5D6E-409C-BE32-E72D297353CC}">
              <c16:uniqueId val="{00000004-C99B-40C2-A294-D1856C9A3651}"/>
            </c:ext>
          </c:extLst>
        </c:ser>
        <c:dLbls>
          <c:showLegendKey val="0"/>
          <c:showVal val="0"/>
          <c:showCatName val="0"/>
          <c:showSerName val="0"/>
          <c:showPercent val="0"/>
          <c:showBubbleSize val="0"/>
        </c:dLbls>
        <c:axId val="384807544"/>
        <c:axId val="384809504"/>
      </c:scatterChart>
      <c:valAx>
        <c:axId val="384807544"/>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a:t>
                </a:r>
                <a:r>
                  <a:rPr lang="en-US" sz="1100" b="0" i="0" u="none" strike="noStrike" baseline="0">
                    <a:effectLst/>
                  </a:rPr>
                  <a:t>Ratio</a:t>
                </a:r>
                <a:r>
                  <a:rPr lang="en-US" sz="1100"/>
                  <a:t>)</a:t>
                </a:r>
              </a:p>
            </c:rich>
          </c:tx>
          <c:layout>
            <c:manualLayout>
              <c:xMode val="edge"/>
              <c:yMode val="edge"/>
              <c:x val="0.43061872415702857"/>
              <c:y val="0.92240741970686335"/>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809504"/>
        <c:crosses val="autoZero"/>
        <c:crossBetween val="midCat"/>
      </c:valAx>
      <c:valAx>
        <c:axId val="384809504"/>
        <c:scaling>
          <c:orientation val="minMax"/>
          <c:max val="1"/>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807544"/>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Pool Depth Ratio for B</a:t>
            </a:r>
            <a:r>
              <a:rPr lang="en-US" baseline="0"/>
              <a:t> </a:t>
            </a:r>
            <a:r>
              <a:rPr lang="en-US"/>
              <a:t>streams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5092168505273453E-2"/>
          <c:y val="0.10898967428091716"/>
          <c:w val="0.85454118492941922"/>
          <c:h val="0.78031347130505857"/>
        </c:manualLayout>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9.2723792338053196E-2"/>
                  <c:y val="5.5312203424698746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Curves'!$U$630:$W$630</c:f>
              <c:numCache>
                <c:formatCode>0.0</c:formatCode>
                <c:ptCount val="3"/>
                <c:pt idx="0">
                  <c:v>1</c:v>
                </c:pt>
                <c:pt idx="2">
                  <c:v>2</c:v>
                </c:pt>
              </c:numCache>
            </c:numRef>
          </c:xVal>
          <c:yVal>
            <c:numRef>
              <c:f>'Reference Curves'!$U$631:$W$631</c:f>
              <c:numCache>
                <c:formatCode>0.00</c:formatCode>
                <c:ptCount val="3"/>
                <c:pt idx="0">
                  <c:v>0</c:v>
                </c:pt>
                <c:pt idx="1">
                  <c:v>0.28999999999999998</c:v>
                </c:pt>
                <c:pt idx="2">
                  <c:v>0.3</c:v>
                </c:pt>
              </c:numCache>
            </c:numRef>
          </c:yVal>
          <c:smooth val="0"/>
          <c:extLst>
            <c:ext xmlns:c16="http://schemas.microsoft.com/office/drawing/2014/chart" uri="{C3380CC4-5D6E-409C-BE32-E72D297353CC}">
              <c16:uniqueId val="{00000000-8EC5-4A07-8D5B-D3562716BC89}"/>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5.5321927624979048E-2"/>
                  <c:y val="0.13691177412436906"/>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Curves'!$W$630:$Y$630</c:f>
              <c:numCache>
                <c:formatCode>0.0</c:formatCode>
                <c:ptCount val="3"/>
                <c:pt idx="0">
                  <c:v>2</c:v>
                </c:pt>
                <c:pt idx="2">
                  <c:v>2.2999999999999998</c:v>
                </c:pt>
              </c:numCache>
            </c:numRef>
          </c:xVal>
          <c:yVal>
            <c:numRef>
              <c:f>'Reference Curves'!$W$631:$Y$631</c:f>
              <c:numCache>
                <c:formatCode>0.00</c:formatCode>
                <c:ptCount val="3"/>
                <c:pt idx="0">
                  <c:v>0.3</c:v>
                </c:pt>
                <c:pt idx="1">
                  <c:v>0.69</c:v>
                </c:pt>
                <c:pt idx="2">
                  <c:v>0.7</c:v>
                </c:pt>
              </c:numCache>
            </c:numRef>
          </c:yVal>
          <c:smooth val="0"/>
          <c:extLst>
            <c:ext xmlns:c16="http://schemas.microsoft.com/office/drawing/2014/chart" uri="{C3380CC4-5D6E-409C-BE32-E72D297353CC}">
              <c16:uniqueId val="{00000000-6121-4ADE-A1F7-55E2A9FD0207}"/>
            </c:ext>
          </c:extLst>
        </c:ser>
        <c:ser>
          <c:idx val="2"/>
          <c:order val="2"/>
          <c:spPr>
            <a:ln w="25400" cap="rnd">
              <a:noFill/>
              <a:round/>
            </a:ln>
            <a:effectLst/>
          </c:spPr>
          <c:marker>
            <c:symbol val="circle"/>
            <c:size val="5"/>
            <c:spPr>
              <a:solidFill>
                <a:schemeClr val="accent3"/>
              </a:solidFill>
              <a:ln w="9525">
                <a:solidFill>
                  <a:schemeClr val="accent3"/>
                </a:solidFill>
              </a:ln>
              <a:effectLst/>
            </c:spPr>
          </c:marker>
          <c:trendline>
            <c:spPr>
              <a:ln w="19050" cap="rnd">
                <a:solidFill>
                  <a:schemeClr val="accent3"/>
                </a:solidFill>
                <a:prstDash val="sysDot"/>
              </a:ln>
              <a:effectLst/>
            </c:spPr>
            <c:trendlineType val="linear"/>
            <c:dispRSqr val="0"/>
            <c:dispEq val="1"/>
            <c:trendlineLbl>
              <c:layout>
                <c:manualLayout>
                  <c:x val="-7.0849442367762569E-2"/>
                  <c:y val="7.8836871697036629E-3"/>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rendlineLbl>
          </c:trendline>
          <c:xVal>
            <c:numRef>
              <c:f>'Reference Curves'!$Y$630:$Z$630</c:f>
              <c:numCache>
                <c:formatCode>0.0</c:formatCode>
                <c:ptCount val="2"/>
                <c:pt idx="0">
                  <c:v>2.2999999999999998</c:v>
                </c:pt>
                <c:pt idx="1">
                  <c:v>2.9</c:v>
                </c:pt>
              </c:numCache>
            </c:numRef>
          </c:xVal>
          <c:yVal>
            <c:numRef>
              <c:f>'Reference Curves'!$Y$631:$Z$631</c:f>
              <c:numCache>
                <c:formatCode>0.00</c:formatCode>
                <c:ptCount val="2"/>
                <c:pt idx="0">
                  <c:v>0.7</c:v>
                </c:pt>
                <c:pt idx="1">
                  <c:v>1</c:v>
                </c:pt>
              </c:numCache>
            </c:numRef>
          </c:yVal>
          <c:smooth val="0"/>
          <c:extLst>
            <c:ext xmlns:c16="http://schemas.microsoft.com/office/drawing/2014/chart" uri="{C3380CC4-5D6E-409C-BE32-E72D297353CC}">
              <c16:uniqueId val="{00000007-B42B-4A4D-AC30-DF63CF20A35A}"/>
            </c:ext>
          </c:extLst>
        </c:ser>
        <c:dLbls>
          <c:showLegendKey val="0"/>
          <c:showVal val="0"/>
          <c:showCatName val="0"/>
          <c:showSerName val="0"/>
          <c:showPercent val="0"/>
          <c:showBubbleSize val="0"/>
        </c:dLbls>
        <c:axId val="384809112"/>
        <c:axId val="384809896"/>
      </c:scatterChart>
      <c:valAx>
        <c:axId val="384809112"/>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a:t>
                </a:r>
                <a:r>
                  <a:rPr lang="en-US" sz="1100" b="0" i="0" u="none" strike="noStrike" baseline="0">
                    <a:effectLst/>
                  </a:rPr>
                  <a:t>Ratio)</a:t>
                </a:r>
                <a:endParaRPr lang="en-US" sz="1100"/>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809896"/>
        <c:crosses val="autoZero"/>
        <c:crossBetween val="midCat"/>
      </c:valAx>
      <c:valAx>
        <c:axId val="384809896"/>
        <c:scaling>
          <c:orientation val="minMax"/>
          <c:max val="1"/>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809112"/>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Pool Depth Ratio for C streams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4.2754138221788113E-2"/>
                  <c:y val="0.10467732268139138"/>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Curves'!$U$663:$W$663</c:f>
              <c:numCache>
                <c:formatCode>0.0</c:formatCode>
                <c:ptCount val="3"/>
                <c:pt idx="0">
                  <c:v>1</c:v>
                </c:pt>
                <c:pt idx="2">
                  <c:v>1.2</c:v>
                </c:pt>
              </c:numCache>
            </c:numRef>
          </c:xVal>
          <c:yVal>
            <c:numRef>
              <c:f>'Reference Curves'!$U$664:$W$664</c:f>
              <c:numCache>
                <c:formatCode>0.00</c:formatCode>
                <c:ptCount val="3"/>
                <c:pt idx="0">
                  <c:v>0</c:v>
                </c:pt>
                <c:pt idx="1">
                  <c:v>0.28999999999999998</c:v>
                </c:pt>
                <c:pt idx="2">
                  <c:v>0.3</c:v>
                </c:pt>
              </c:numCache>
            </c:numRef>
          </c:yVal>
          <c:smooth val="0"/>
          <c:extLst>
            <c:ext xmlns:c16="http://schemas.microsoft.com/office/drawing/2014/chart" uri="{C3380CC4-5D6E-409C-BE32-E72D297353CC}">
              <c16:uniqueId val="{00000000-0685-4A88-A253-CC374FDFCA12}"/>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8.0834948989414332E-2"/>
                  <c:y val="6.1258471070126011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Curves'!$W$663:$Y$663</c:f>
              <c:numCache>
                <c:formatCode>0.0</c:formatCode>
                <c:ptCount val="3"/>
                <c:pt idx="0">
                  <c:v>1.2</c:v>
                </c:pt>
                <c:pt idx="2">
                  <c:v>1.9</c:v>
                </c:pt>
              </c:numCache>
            </c:numRef>
          </c:xVal>
          <c:yVal>
            <c:numRef>
              <c:f>'Reference Curves'!$W$664:$Y$664</c:f>
              <c:numCache>
                <c:formatCode>0.00</c:formatCode>
                <c:ptCount val="3"/>
                <c:pt idx="0">
                  <c:v>0.3</c:v>
                </c:pt>
                <c:pt idx="1">
                  <c:v>0.69</c:v>
                </c:pt>
                <c:pt idx="2">
                  <c:v>0.7</c:v>
                </c:pt>
              </c:numCache>
            </c:numRef>
          </c:yVal>
          <c:smooth val="0"/>
          <c:extLst>
            <c:ext xmlns:c16="http://schemas.microsoft.com/office/drawing/2014/chart" uri="{C3380CC4-5D6E-409C-BE32-E72D297353CC}">
              <c16:uniqueId val="{00000002-D7FE-42AE-9791-FD842063DC3F}"/>
            </c:ext>
          </c:extLst>
        </c:ser>
        <c:ser>
          <c:idx val="2"/>
          <c:order val="2"/>
          <c:spPr>
            <a:ln w="25400" cap="rnd">
              <a:noFill/>
              <a:round/>
            </a:ln>
            <a:effectLst/>
          </c:spPr>
          <c:marker>
            <c:symbol val="circle"/>
            <c:size val="5"/>
            <c:spPr>
              <a:solidFill>
                <a:schemeClr val="accent3"/>
              </a:solidFill>
              <a:ln w="9525">
                <a:solidFill>
                  <a:schemeClr val="accent3"/>
                </a:solidFill>
              </a:ln>
              <a:effectLst/>
            </c:spPr>
          </c:marker>
          <c:trendline>
            <c:spPr>
              <a:ln w="19050" cap="rnd">
                <a:solidFill>
                  <a:schemeClr val="accent3"/>
                </a:solidFill>
                <a:prstDash val="sysDot"/>
              </a:ln>
              <a:effectLst/>
            </c:spPr>
            <c:trendlineType val="linear"/>
            <c:dispRSqr val="0"/>
            <c:dispEq val="1"/>
            <c:trendlineLbl>
              <c:layout>
                <c:manualLayout>
                  <c:x val="-6.6546181474434446E-2"/>
                  <c:y val="6.5833318437569358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rendlineLbl>
          </c:trendline>
          <c:xVal>
            <c:numRef>
              <c:f>'Reference Curves'!$Y$663:$Z$663</c:f>
              <c:numCache>
                <c:formatCode>0.0</c:formatCode>
                <c:ptCount val="2"/>
                <c:pt idx="0">
                  <c:v>1.9</c:v>
                </c:pt>
                <c:pt idx="1">
                  <c:v>2.2999999999999998</c:v>
                </c:pt>
              </c:numCache>
            </c:numRef>
          </c:xVal>
          <c:yVal>
            <c:numRef>
              <c:f>'Reference Curves'!$Y$664:$Z$664</c:f>
              <c:numCache>
                <c:formatCode>0.00</c:formatCode>
                <c:ptCount val="2"/>
                <c:pt idx="0">
                  <c:v>0.7</c:v>
                </c:pt>
                <c:pt idx="1">
                  <c:v>1</c:v>
                </c:pt>
              </c:numCache>
            </c:numRef>
          </c:yVal>
          <c:smooth val="0"/>
          <c:extLst>
            <c:ext xmlns:c16="http://schemas.microsoft.com/office/drawing/2014/chart" uri="{C3380CC4-5D6E-409C-BE32-E72D297353CC}">
              <c16:uniqueId val="{00000003-936F-4E8B-92E6-4DA107CEA11E}"/>
            </c:ext>
          </c:extLst>
        </c:ser>
        <c:dLbls>
          <c:showLegendKey val="0"/>
          <c:showVal val="0"/>
          <c:showCatName val="0"/>
          <c:showSerName val="0"/>
          <c:showPercent val="0"/>
          <c:showBubbleSize val="0"/>
        </c:dLbls>
        <c:axId val="384807936"/>
        <c:axId val="384805192"/>
      </c:scatterChart>
      <c:valAx>
        <c:axId val="384807936"/>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a:t>
                </a:r>
                <a:r>
                  <a:rPr lang="en-US" sz="1100" b="0" i="0" u="none" strike="noStrike" baseline="0">
                    <a:effectLst/>
                  </a:rPr>
                  <a:t>Ratio</a:t>
                </a:r>
                <a:r>
                  <a:rPr lang="en-US" sz="1100"/>
                  <a:t>)</a:t>
                </a:r>
              </a:p>
            </c:rich>
          </c:tx>
          <c:layout>
            <c:manualLayout>
              <c:xMode val="edge"/>
              <c:yMode val="edge"/>
              <c:x val="0.44025903178585812"/>
              <c:y val="0.92322508394181368"/>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805192"/>
        <c:crosses val="autoZero"/>
        <c:crossBetween val="midCat"/>
      </c:valAx>
      <c:valAx>
        <c:axId val="384805192"/>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a:t>
                </a:r>
                <a:r>
                  <a:rPr lang="en-US" sz="1100" baseline="0"/>
                  <a:t> Value</a:t>
                </a:r>
                <a:endParaRPr lang="en-US" sz="1100"/>
              </a:p>
            </c:rich>
          </c:tx>
          <c:layout>
            <c:manualLayout>
              <c:xMode val="edge"/>
              <c:yMode val="edge"/>
              <c:x val="1.1085030739575794E-2"/>
              <c:y val="0.40989288450511485"/>
            </c:manualLayout>
          </c:layout>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807936"/>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Pool Depth Ratio for E</a:t>
            </a:r>
            <a:r>
              <a:rPr lang="en-US" baseline="0"/>
              <a:t> </a:t>
            </a:r>
            <a:r>
              <a:rPr lang="en-US"/>
              <a:t>streams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7.6378080743695495E-2"/>
                  <c:y val="5.5177407675597395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Curves'!$Y$696:$Z$696</c:f>
              <c:numCache>
                <c:formatCode>0.0</c:formatCode>
                <c:ptCount val="2"/>
                <c:pt idx="0">
                  <c:v>1.7</c:v>
                </c:pt>
                <c:pt idx="1">
                  <c:v>2.1</c:v>
                </c:pt>
              </c:numCache>
            </c:numRef>
          </c:xVal>
          <c:yVal>
            <c:numRef>
              <c:f>'Reference Curves'!$Y$697:$Z$697</c:f>
              <c:numCache>
                <c:formatCode>0.00</c:formatCode>
                <c:ptCount val="2"/>
                <c:pt idx="0">
                  <c:v>0.7</c:v>
                </c:pt>
                <c:pt idx="1">
                  <c:v>1</c:v>
                </c:pt>
              </c:numCache>
            </c:numRef>
          </c:yVal>
          <c:smooth val="0"/>
          <c:extLst>
            <c:ext xmlns:c16="http://schemas.microsoft.com/office/drawing/2014/chart" uri="{C3380CC4-5D6E-409C-BE32-E72D297353CC}">
              <c16:uniqueId val="{00000000-12A8-4C81-9017-6694A81055E9}"/>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5.0053943749845148E-2"/>
                  <c:y val="0.11812210946113624"/>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Curves'!$W$696:$Y$696</c:f>
              <c:numCache>
                <c:formatCode>0.0</c:formatCode>
                <c:ptCount val="3"/>
                <c:pt idx="0">
                  <c:v>1.4</c:v>
                </c:pt>
                <c:pt idx="2">
                  <c:v>1.7</c:v>
                </c:pt>
              </c:numCache>
            </c:numRef>
          </c:xVal>
          <c:yVal>
            <c:numRef>
              <c:f>'Reference Curves'!$W$697:$Y$697</c:f>
              <c:numCache>
                <c:formatCode>0.00</c:formatCode>
                <c:ptCount val="3"/>
                <c:pt idx="0">
                  <c:v>0.3</c:v>
                </c:pt>
                <c:pt idx="1">
                  <c:v>0.69</c:v>
                </c:pt>
                <c:pt idx="2">
                  <c:v>0.7</c:v>
                </c:pt>
              </c:numCache>
            </c:numRef>
          </c:yVal>
          <c:smooth val="0"/>
          <c:extLst>
            <c:ext xmlns:c16="http://schemas.microsoft.com/office/drawing/2014/chart" uri="{C3380CC4-5D6E-409C-BE32-E72D297353CC}">
              <c16:uniqueId val="{00000000-0E53-4C23-8B88-B8B9985A029B}"/>
            </c:ext>
          </c:extLst>
        </c:ser>
        <c:ser>
          <c:idx val="2"/>
          <c:order val="2"/>
          <c:spPr>
            <a:ln w="25400" cap="rnd">
              <a:noFill/>
              <a:round/>
            </a:ln>
            <a:effectLst/>
          </c:spPr>
          <c:marker>
            <c:symbol val="circle"/>
            <c:size val="5"/>
            <c:spPr>
              <a:solidFill>
                <a:schemeClr val="accent3"/>
              </a:solidFill>
              <a:ln w="9525">
                <a:solidFill>
                  <a:schemeClr val="accent3"/>
                </a:solidFill>
              </a:ln>
              <a:effectLst/>
            </c:spPr>
          </c:marker>
          <c:trendline>
            <c:spPr>
              <a:ln w="19050" cap="rnd">
                <a:solidFill>
                  <a:schemeClr val="accent3"/>
                </a:solidFill>
                <a:prstDash val="sysDot"/>
              </a:ln>
              <a:effectLst/>
            </c:spPr>
            <c:trendlineType val="linear"/>
            <c:dispRSqr val="0"/>
            <c:dispEq val="1"/>
            <c:trendlineLbl>
              <c:layout>
                <c:manualLayout>
                  <c:x val="-6.1358856948082616E-2"/>
                  <c:y val="8.5008193271450178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rendlineLbl>
          </c:trendline>
          <c:xVal>
            <c:numRef>
              <c:f>'Reference Curves'!$U$696:$W$696</c:f>
              <c:numCache>
                <c:formatCode>0.0</c:formatCode>
                <c:ptCount val="3"/>
                <c:pt idx="0">
                  <c:v>1</c:v>
                </c:pt>
                <c:pt idx="2">
                  <c:v>1.4</c:v>
                </c:pt>
              </c:numCache>
            </c:numRef>
          </c:xVal>
          <c:yVal>
            <c:numRef>
              <c:f>'Reference Curves'!$U$697:$W$697</c:f>
              <c:numCache>
                <c:formatCode>0.00</c:formatCode>
                <c:ptCount val="3"/>
                <c:pt idx="0">
                  <c:v>0</c:v>
                </c:pt>
                <c:pt idx="1">
                  <c:v>0.28999999999999998</c:v>
                </c:pt>
                <c:pt idx="2">
                  <c:v>0.3</c:v>
                </c:pt>
              </c:numCache>
            </c:numRef>
          </c:yVal>
          <c:smooth val="0"/>
          <c:extLst>
            <c:ext xmlns:c16="http://schemas.microsoft.com/office/drawing/2014/chart" uri="{C3380CC4-5D6E-409C-BE32-E72D297353CC}">
              <c16:uniqueId val="{00000003-C988-4F0E-A4B7-8FF8E0EF3EB9}"/>
            </c:ext>
          </c:extLst>
        </c:ser>
        <c:dLbls>
          <c:showLegendKey val="0"/>
          <c:showVal val="0"/>
          <c:showCatName val="0"/>
          <c:showSerName val="0"/>
          <c:showPercent val="0"/>
          <c:showBubbleSize val="0"/>
        </c:dLbls>
        <c:axId val="384810288"/>
        <c:axId val="384810680"/>
      </c:scatterChart>
      <c:valAx>
        <c:axId val="384810288"/>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b="0" i="0" baseline="0">
                    <a:effectLst/>
                  </a:rPr>
                  <a:t>Field Value (</a:t>
                </a:r>
                <a:r>
                  <a:rPr lang="en-US" sz="1100" b="0" i="0" u="none" strike="noStrike" baseline="0">
                    <a:effectLst/>
                  </a:rPr>
                  <a:t>Ratio</a:t>
                </a:r>
                <a:r>
                  <a:rPr lang="en-US" sz="1100" b="0" i="0" baseline="0">
                    <a:effectLst/>
                  </a:rPr>
                  <a:t>)</a:t>
                </a:r>
                <a:endParaRPr lang="en-US" sz="1100">
                  <a:effectLst/>
                </a:endParaRPr>
              </a:p>
            </c:rich>
          </c:tx>
          <c:layout>
            <c:manualLayout>
              <c:xMode val="edge"/>
              <c:yMode val="edge"/>
              <c:x val="0.43220656006635377"/>
              <c:y val="0.94600507112345256"/>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810680"/>
        <c:crosses val="autoZero"/>
        <c:crossBetween val="midCat"/>
      </c:valAx>
      <c:valAx>
        <c:axId val="384810680"/>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810288"/>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Percent Riffle for B Streams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8.1708478915652069E-2"/>
                  <c:y val="9.9873162371758514E-2"/>
                </c:manualLayout>
              </c:layout>
              <c:numFmt formatCode="#,##0.000000"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Curves'!$U$763:$Z$763</c:f>
              <c:numCache>
                <c:formatCode>General</c:formatCode>
                <c:ptCount val="6"/>
                <c:pt idx="0" formatCode="0">
                  <c:v>0</c:v>
                </c:pt>
                <c:pt idx="5">
                  <c:v>53</c:v>
                </c:pt>
              </c:numCache>
            </c:numRef>
          </c:xVal>
          <c:yVal>
            <c:numRef>
              <c:f>'Reference Curves'!$U$765:$Z$765</c:f>
              <c:numCache>
                <c:formatCode>0.00</c:formatCode>
                <c:ptCount val="6"/>
                <c:pt idx="0">
                  <c:v>0</c:v>
                </c:pt>
                <c:pt idx="1">
                  <c:v>0.28999999999999998</c:v>
                </c:pt>
                <c:pt idx="2">
                  <c:v>0.3</c:v>
                </c:pt>
                <c:pt idx="3">
                  <c:v>0.69</c:v>
                </c:pt>
                <c:pt idx="4">
                  <c:v>0.7</c:v>
                </c:pt>
                <c:pt idx="5">
                  <c:v>1</c:v>
                </c:pt>
              </c:numCache>
            </c:numRef>
          </c:yVal>
          <c:smooth val="0"/>
          <c:extLst>
            <c:ext xmlns:c16="http://schemas.microsoft.com/office/drawing/2014/chart" uri="{C3380CC4-5D6E-409C-BE32-E72D297353CC}">
              <c16:uniqueId val="{00000000-33CC-400E-91D8-8DB0C3E7DC9D}"/>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poly"/>
            <c:order val="2"/>
            <c:dispRSqr val="0"/>
            <c:dispEq val="1"/>
            <c:trendlineLbl>
              <c:layout>
                <c:manualLayout>
                  <c:x val="-2.8311500997831546E-2"/>
                  <c:y val="-3.5539841744354539E-2"/>
                </c:manualLayout>
              </c:layout>
              <c:numFmt formatCode="#,##0.000000"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Curves'!$U$764:$Z$764</c:f>
              <c:numCache>
                <c:formatCode>General</c:formatCode>
                <c:ptCount val="6"/>
                <c:pt idx="0" formatCode="0">
                  <c:v>100</c:v>
                </c:pt>
                <c:pt idx="5">
                  <c:v>61</c:v>
                </c:pt>
              </c:numCache>
            </c:numRef>
          </c:xVal>
          <c:yVal>
            <c:numRef>
              <c:f>'Reference Curves'!$U$765:$Z$765</c:f>
              <c:numCache>
                <c:formatCode>0.00</c:formatCode>
                <c:ptCount val="6"/>
                <c:pt idx="0">
                  <c:v>0</c:v>
                </c:pt>
                <c:pt idx="1">
                  <c:v>0.28999999999999998</c:v>
                </c:pt>
                <c:pt idx="2">
                  <c:v>0.3</c:v>
                </c:pt>
                <c:pt idx="3">
                  <c:v>0.69</c:v>
                </c:pt>
                <c:pt idx="4">
                  <c:v>0.7</c:v>
                </c:pt>
                <c:pt idx="5">
                  <c:v>1</c:v>
                </c:pt>
              </c:numCache>
            </c:numRef>
          </c:yVal>
          <c:smooth val="0"/>
          <c:extLst>
            <c:ext xmlns:c16="http://schemas.microsoft.com/office/drawing/2014/chart" uri="{C3380CC4-5D6E-409C-BE32-E72D297353CC}">
              <c16:uniqueId val="{00000001-33CC-400E-91D8-8DB0C3E7DC9D}"/>
            </c:ext>
          </c:extLst>
        </c:ser>
        <c:ser>
          <c:idx val="2"/>
          <c:order val="2"/>
          <c:spPr>
            <a:ln w="25400" cap="rnd">
              <a:solidFill>
                <a:srgbClr val="FF0000"/>
              </a:solidFill>
              <a:round/>
            </a:ln>
            <a:effectLst/>
          </c:spPr>
          <c:marker>
            <c:symbol val="none"/>
          </c:marker>
          <c:xVal>
            <c:numRef>
              <c:f>'Reference Curves'!$Z$763:$Z$764</c:f>
              <c:numCache>
                <c:formatCode>General</c:formatCode>
                <c:ptCount val="2"/>
                <c:pt idx="0">
                  <c:v>53</c:v>
                </c:pt>
                <c:pt idx="1">
                  <c:v>61</c:v>
                </c:pt>
              </c:numCache>
            </c:numRef>
          </c:xVal>
          <c:yVal>
            <c:numLit>
              <c:formatCode>General</c:formatCode>
              <c:ptCount val="2"/>
              <c:pt idx="0">
                <c:v>1</c:v>
              </c:pt>
              <c:pt idx="1">
                <c:v>1</c:v>
              </c:pt>
            </c:numLit>
          </c:yVal>
          <c:smooth val="0"/>
          <c:extLst>
            <c:ext xmlns:c16="http://schemas.microsoft.com/office/drawing/2014/chart" uri="{C3380CC4-5D6E-409C-BE32-E72D297353CC}">
              <c16:uniqueId val="{00000000-FA7A-475D-A63F-B00735B9BBEC}"/>
            </c:ext>
          </c:extLst>
        </c:ser>
        <c:dLbls>
          <c:showLegendKey val="0"/>
          <c:showVal val="0"/>
          <c:showCatName val="0"/>
          <c:showSerName val="0"/>
          <c:showPercent val="0"/>
          <c:showBubbleSize val="0"/>
        </c:dLbls>
        <c:axId val="363179328"/>
        <c:axId val="363180112"/>
      </c:scatterChart>
      <c:valAx>
        <c:axId val="363179328"/>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a:t>
                </a:r>
              </a:p>
            </c:rich>
          </c:tx>
          <c:layout>
            <c:manualLayout>
              <c:xMode val="edge"/>
              <c:yMode val="edge"/>
              <c:x val="0.41896342508207335"/>
              <c:y val="0.93190702301485828"/>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3180112"/>
        <c:crosses val="autoZero"/>
        <c:crossBetween val="midCat"/>
      </c:valAx>
      <c:valAx>
        <c:axId val="363180112"/>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 </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3179328"/>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Percent Riffle for B, C and E Streams &lt; 3% slope and Percent Riffle &gt;=60</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1"/>
            <c:dispEq val="1"/>
            <c:trendlineLbl>
              <c:layout>
                <c:manualLayout>
                  <c:x val="-0.52456070937341359"/>
                  <c:y val="-0.17766750962584962"/>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xVal>
            <c:numRef>
              <c:f>'Performance Stds'!#REF!</c:f>
            </c:numRef>
          </c:xVal>
          <c:yVal>
            <c:numRef>
              <c:f>'Performance Stds'!#REF!</c:f>
              <c:numCache>
                <c:formatCode>General</c:formatCode>
                <c:ptCount val="1"/>
                <c:pt idx="0">
                  <c:v>1</c:v>
                </c:pt>
              </c:numCache>
            </c:numRef>
          </c:yVal>
          <c:smooth val="0"/>
          <c:extLst>
            <c:ext xmlns:c16="http://schemas.microsoft.com/office/drawing/2014/chart" uri="{C3380CC4-5D6E-409C-BE32-E72D297353CC}">
              <c16:uniqueId val="{00000000-1CCE-4783-8506-AA46E4409ADE}"/>
            </c:ext>
          </c:extLst>
        </c:ser>
        <c:dLbls>
          <c:showLegendKey val="0"/>
          <c:showVal val="0"/>
          <c:showCatName val="0"/>
          <c:showSerName val="0"/>
          <c:showPercent val="0"/>
          <c:showBubbleSize val="0"/>
        </c:dLbls>
        <c:axId val="363174624"/>
        <c:axId val="363175408"/>
      </c:scatterChart>
      <c:valAx>
        <c:axId val="363174624"/>
        <c:scaling>
          <c:orientation val="minMax"/>
          <c:min val="70"/>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3175408"/>
        <c:crosses val="autoZero"/>
        <c:crossBetween val="midCat"/>
      </c:valAx>
      <c:valAx>
        <c:axId val="363175408"/>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3174624"/>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Percent Riffle for C</a:t>
            </a:r>
            <a:r>
              <a:rPr lang="en-US" baseline="0"/>
              <a:t> </a:t>
            </a:r>
            <a:r>
              <a:rPr lang="en-US"/>
              <a:t>Streams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8.473692166254905E-2"/>
                  <c:y val="0.1551371440149231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Curves'!$U$798:$Z$798</c:f>
              <c:numCache>
                <c:formatCode>General</c:formatCode>
                <c:ptCount val="6"/>
                <c:pt idx="0" formatCode="0">
                  <c:v>0</c:v>
                </c:pt>
                <c:pt idx="5">
                  <c:v>45</c:v>
                </c:pt>
              </c:numCache>
            </c:numRef>
          </c:xVal>
          <c:yVal>
            <c:numRef>
              <c:f>'Reference Curves'!$U$800:$Z$800</c:f>
              <c:numCache>
                <c:formatCode>0.00</c:formatCode>
                <c:ptCount val="6"/>
                <c:pt idx="0">
                  <c:v>0</c:v>
                </c:pt>
                <c:pt idx="1">
                  <c:v>0.28999999999999998</c:v>
                </c:pt>
                <c:pt idx="2">
                  <c:v>0.3</c:v>
                </c:pt>
                <c:pt idx="3">
                  <c:v>0.69</c:v>
                </c:pt>
                <c:pt idx="4">
                  <c:v>0.7</c:v>
                </c:pt>
                <c:pt idx="5">
                  <c:v>1</c:v>
                </c:pt>
              </c:numCache>
            </c:numRef>
          </c:yVal>
          <c:smooth val="0"/>
          <c:extLst>
            <c:ext xmlns:c16="http://schemas.microsoft.com/office/drawing/2014/chart" uri="{C3380CC4-5D6E-409C-BE32-E72D297353CC}">
              <c16:uniqueId val="{00000008-5777-44F6-9269-F20A006DBE11}"/>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0.13283853297333684"/>
                  <c:y val="-0.4571895448676330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Curves'!$U$799:$Z$799</c:f>
              <c:numCache>
                <c:formatCode>General</c:formatCode>
                <c:ptCount val="6"/>
                <c:pt idx="0" formatCode="0">
                  <c:v>100</c:v>
                </c:pt>
                <c:pt idx="5">
                  <c:v>65</c:v>
                </c:pt>
              </c:numCache>
            </c:numRef>
          </c:xVal>
          <c:yVal>
            <c:numRef>
              <c:f>'Reference Curves'!$U$800:$Z$800</c:f>
              <c:numCache>
                <c:formatCode>0.00</c:formatCode>
                <c:ptCount val="6"/>
                <c:pt idx="0">
                  <c:v>0</c:v>
                </c:pt>
                <c:pt idx="1">
                  <c:v>0.28999999999999998</c:v>
                </c:pt>
                <c:pt idx="2">
                  <c:v>0.3</c:v>
                </c:pt>
                <c:pt idx="3">
                  <c:v>0.69</c:v>
                </c:pt>
                <c:pt idx="4">
                  <c:v>0.7</c:v>
                </c:pt>
                <c:pt idx="5">
                  <c:v>1</c:v>
                </c:pt>
              </c:numCache>
            </c:numRef>
          </c:yVal>
          <c:smooth val="0"/>
          <c:extLst>
            <c:ext xmlns:c16="http://schemas.microsoft.com/office/drawing/2014/chart" uri="{C3380CC4-5D6E-409C-BE32-E72D297353CC}">
              <c16:uniqueId val="{00000009-5777-44F6-9269-F20A006DBE11}"/>
            </c:ext>
          </c:extLst>
        </c:ser>
        <c:ser>
          <c:idx val="2"/>
          <c:order val="2"/>
          <c:spPr>
            <a:ln w="25400" cap="rnd">
              <a:solidFill>
                <a:srgbClr val="FF0000"/>
              </a:solidFill>
              <a:round/>
            </a:ln>
            <a:effectLst/>
          </c:spPr>
          <c:marker>
            <c:symbol val="none"/>
          </c:marker>
          <c:xVal>
            <c:numRef>
              <c:f>'Reference Curves'!$Z$798:$Z$799</c:f>
              <c:numCache>
                <c:formatCode>General</c:formatCode>
                <c:ptCount val="2"/>
                <c:pt idx="0">
                  <c:v>45</c:v>
                </c:pt>
                <c:pt idx="1">
                  <c:v>65</c:v>
                </c:pt>
              </c:numCache>
            </c:numRef>
          </c:xVal>
          <c:yVal>
            <c:numLit>
              <c:formatCode>General</c:formatCode>
              <c:ptCount val="2"/>
              <c:pt idx="0">
                <c:v>1</c:v>
              </c:pt>
              <c:pt idx="1">
                <c:v>1</c:v>
              </c:pt>
            </c:numLit>
          </c:yVal>
          <c:smooth val="0"/>
          <c:extLst>
            <c:ext xmlns:c16="http://schemas.microsoft.com/office/drawing/2014/chart" uri="{C3380CC4-5D6E-409C-BE32-E72D297353CC}">
              <c16:uniqueId val="{00000003-92F3-4A72-AAD4-9CF820F0DFAA}"/>
            </c:ext>
          </c:extLst>
        </c:ser>
        <c:dLbls>
          <c:showLegendKey val="0"/>
          <c:showVal val="0"/>
          <c:showCatName val="0"/>
          <c:showSerName val="0"/>
          <c:showPercent val="0"/>
          <c:showBubbleSize val="0"/>
        </c:dLbls>
        <c:axId val="385166112"/>
        <c:axId val="385170816"/>
      </c:scatterChart>
      <c:valAx>
        <c:axId val="385166112"/>
        <c:scaling>
          <c:orientation val="minMax"/>
          <c:min val="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a:t>
                </a:r>
              </a:p>
            </c:rich>
          </c:tx>
          <c:layout>
            <c:manualLayout>
              <c:xMode val="edge"/>
              <c:yMode val="edge"/>
              <c:x val="0.46326000113364812"/>
              <c:y val="0.92699717943000126"/>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170816"/>
        <c:crosses val="autoZero"/>
        <c:crossBetween val="midCat"/>
      </c:valAx>
      <c:valAx>
        <c:axId val="385170816"/>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layout>
            <c:manualLayout>
              <c:xMode val="edge"/>
              <c:yMode val="edge"/>
              <c:x val="1.5698024397449255E-2"/>
              <c:y val="0.42206100382084288"/>
            </c:manualLayout>
          </c:layout>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166112"/>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Percent Riffle for A</a:t>
            </a:r>
            <a:r>
              <a:rPr lang="en-US" baseline="0"/>
              <a:t> and B</a:t>
            </a:r>
            <a:r>
              <a:rPr lang="en-US"/>
              <a:t> Streams and Percent Riffle &gt;70</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1"/>
            <c:dispEq val="1"/>
            <c:trendlineLbl>
              <c:layout>
                <c:manualLayout>
                  <c:x val="-0.57622122197586678"/>
                  <c:y val="-7.6397433403473824E-2"/>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xVal>
            <c:numRef>
              <c:f>'Performance Stds'!#REF!</c:f>
            </c:numRef>
          </c:xVal>
          <c:yVal>
            <c:numRef>
              <c:f>'Performance Stds'!#REF!</c:f>
              <c:numCache>
                <c:formatCode>General</c:formatCode>
                <c:ptCount val="1"/>
                <c:pt idx="0">
                  <c:v>1</c:v>
                </c:pt>
              </c:numCache>
            </c:numRef>
          </c:yVal>
          <c:smooth val="0"/>
          <c:extLst>
            <c:ext xmlns:c16="http://schemas.microsoft.com/office/drawing/2014/chart" uri="{C3380CC4-5D6E-409C-BE32-E72D297353CC}">
              <c16:uniqueId val="{00000000-A234-4278-B36B-2D355F1EA40B}"/>
            </c:ext>
          </c:extLst>
        </c:ser>
        <c:dLbls>
          <c:showLegendKey val="0"/>
          <c:showVal val="0"/>
          <c:showCatName val="0"/>
          <c:showSerName val="0"/>
          <c:showPercent val="0"/>
          <c:showBubbleSize val="0"/>
        </c:dLbls>
        <c:axId val="385166504"/>
        <c:axId val="385171992"/>
      </c:scatterChart>
      <c:valAx>
        <c:axId val="385166504"/>
        <c:scaling>
          <c:orientation val="minMax"/>
          <c:min val="60"/>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171992"/>
        <c:crosses val="autoZero"/>
        <c:crossBetween val="midCat"/>
      </c:valAx>
      <c:valAx>
        <c:axId val="385171992"/>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166504"/>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Tree </a:t>
            </a:r>
            <a:r>
              <a:rPr lang="en-US" baseline="0"/>
              <a:t>Density</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v>Rising Limb</c:v>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poly"/>
            <c:order val="2"/>
            <c:dispRSqr val="0"/>
            <c:dispEq val="1"/>
            <c:trendlineLbl>
              <c:layout>
                <c:manualLayout>
                  <c:x val="0.17522587074874407"/>
                  <c:y val="0.16694910933393958"/>
                </c:manualLayout>
              </c:layout>
              <c:numFmt formatCode="#,##0.000000"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Curves'!$U$357:$Z$357</c:f>
              <c:numCache>
                <c:formatCode>General</c:formatCode>
                <c:ptCount val="6"/>
                <c:pt idx="0">
                  <c:v>0</c:v>
                </c:pt>
                <c:pt idx="5">
                  <c:v>135</c:v>
                </c:pt>
              </c:numCache>
            </c:numRef>
          </c:xVal>
          <c:yVal>
            <c:numRef>
              <c:f>'Reference Curves'!$U$359:$Z$359</c:f>
              <c:numCache>
                <c:formatCode>0.00</c:formatCode>
                <c:ptCount val="6"/>
                <c:pt idx="0">
                  <c:v>0</c:v>
                </c:pt>
                <c:pt idx="1">
                  <c:v>0.28999999999999998</c:v>
                </c:pt>
                <c:pt idx="2">
                  <c:v>0.3</c:v>
                </c:pt>
                <c:pt idx="3">
                  <c:v>0.5</c:v>
                </c:pt>
                <c:pt idx="4">
                  <c:v>0.7</c:v>
                </c:pt>
                <c:pt idx="5">
                  <c:v>1</c:v>
                </c:pt>
              </c:numCache>
            </c:numRef>
          </c:yVal>
          <c:smooth val="0"/>
          <c:extLst>
            <c:ext xmlns:c16="http://schemas.microsoft.com/office/drawing/2014/chart" uri="{C3380CC4-5D6E-409C-BE32-E72D297353CC}">
              <c16:uniqueId val="{00000000-4D1B-4534-82B9-CBA282048D48}"/>
            </c:ext>
          </c:extLst>
        </c:ser>
        <c:ser>
          <c:idx val="1"/>
          <c:order val="1"/>
          <c:tx>
            <c:v>Crest</c:v>
          </c:tx>
          <c:spPr>
            <a:ln w="25400" cap="rnd">
              <a:solidFill>
                <a:srgbClr val="FF0000"/>
              </a:solidFill>
              <a:round/>
            </a:ln>
            <a:effectLst/>
          </c:spPr>
          <c:marker>
            <c:symbol val="none"/>
          </c:marker>
          <c:xVal>
            <c:numRef>
              <c:f>'Reference Curves'!$Z$357:$Z$358</c:f>
              <c:numCache>
                <c:formatCode>General</c:formatCode>
                <c:ptCount val="2"/>
                <c:pt idx="0">
                  <c:v>135</c:v>
                </c:pt>
                <c:pt idx="1">
                  <c:v>262</c:v>
                </c:pt>
              </c:numCache>
            </c:numRef>
          </c:xVal>
          <c:yVal>
            <c:numLit>
              <c:formatCode>General</c:formatCode>
              <c:ptCount val="2"/>
              <c:pt idx="0">
                <c:v>1</c:v>
              </c:pt>
              <c:pt idx="1">
                <c:v>1</c:v>
              </c:pt>
            </c:numLit>
          </c:yVal>
          <c:smooth val="0"/>
          <c:extLst>
            <c:ext xmlns:c16="http://schemas.microsoft.com/office/drawing/2014/chart" uri="{C3380CC4-5D6E-409C-BE32-E72D297353CC}">
              <c16:uniqueId val="{00000001-1D91-48B6-902E-6845997B448D}"/>
            </c:ext>
          </c:extLst>
        </c:ser>
        <c:ser>
          <c:idx val="2"/>
          <c:order val="2"/>
          <c:tx>
            <c:v>Falling Limb</c:v>
          </c:tx>
          <c:spPr>
            <a:ln w="25400" cap="rnd">
              <a:noFill/>
              <a:round/>
            </a:ln>
            <a:effectLst/>
          </c:spPr>
          <c:marker>
            <c:symbol val="circle"/>
            <c:size val="5"/>
            <c:spPr>
              <a:solidFill>
                <a:schemeClr val="accent3"/>
              </a:solidFill>
              <a:ln w="9525">
                <a:solidFill>
                  <a:schemeClr val="accent3"/>
                </a:solidFill>
              </a:ln>
              <a:effectLst/>
            </c:spPr>
          </c:marker>
          <c:trendline>
            <c:spPr>
              <a:ln w="19050" cap="rnd">
                <a:solidFill>
                  <a:schemeClr val="accent3"/>
                </a:solidFill>
                <a:prstDash val="sysDot"/>
              </a:ln>
              <a:effectLst/>
            </c:spPr>
            <c:trendlineType val="linear"/>
            <c:dispRSqr val="0"/>
            <c:dispEq val="1"/>
            <c:trendlineLbl>
              <c:layout>
                <c:manualLayout>
                  <c:x val="-8.7800770778960313E-2"/>
                  <c:y val="-4.1237395604175164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rendlineLbl>
          </c:trendline>
          <c:xVal>
            <c:numRef>
              <c:f>'Reference Curves'!$X$358:$Z$358</c:f>
              <c:numCache>
                <c:formatCode>General</c:formatCode>
                <c:ptCount val="3"/>
                <c:pt idx="0">
                  <c:v>366</c:v>
                </c:pt>
                <c:pt idx="2">
                  <c:v>262</c:v>
                </c:pt>
              </c:numCache>
            </c:numRef>
          </c:xVal>
          <c:yVal>
            <c:numRef>
              <c:f>'Reference Curves'!$X$359:$Z$359</c:f>
              <c:numCache>
                <c:formatCode>0.00</c:formatCode>
                <c:ptCount val="3"/>
                <c:pt idx="0">
                  <c:v>0.5</c:v>
                </c:pt>
                <c:pt idx="1">
                  <c:v>0.7</c:v>
                </c:pt>
                <c:pt idx="2">
                  <c:v>1</c:v>
                </c:pt>
              </c:numCache>
            </c:numRef>
          </c:yVal>
          <c:smooth val="0"/>
          <c:extLst>
            <c:ext xmlns:c16="http://schemas.microsoft.com/office/drawing/2014/chart" uri="{C3380CC4-5D6E-409C-BE32-E72D297353CC}">
              <c16:uniqueId val="{00000001-2ED4-45E3-92C1-94629C6130CC}"/>
            </c:ext>
          </c:extLst>
        </c:ser>
        <c:ser>
          <c:idx val="3"/>
          <c:order val="3"/>
          <c:tx>
            <c:v>0.5</c:v>
          </c:tx>
          <c:spPr>
            <a:ln w="25400" cap="rnd">
              <a:solidFill>
                <a:srgbClr val="FF0000"/>
              </a:solidFill>
              <a:round/>
            </a:ln>
            <a:effectLst/>
          </c:spPr>
          <c:marker>
            <c:symbol val="none"/>
          </c:marker>
          <c:xVal>
            <c:numLit>
              <c:formatCode>General</c:formatCode>
              <c:ptCount val="2"/>
              <c:pt idx="0">
                <c:v>366</c:v>
              </c:pt>
              <c:pt idx="1">
                <c:v>400</c:v>
              </c:pt>
            </c:numLit>
          </c:xVal>
          <c:yVal>
            <c:numLit>
              <c:formatCode>General</c:formatCode>
              <c:ptCount val="2"/>
              <c:pt idx="0">
                <c:v>0.5</c:v>
              </c:pt>
              <c:pt idx="1">
                <c:v>0.5</c:v>
              </c:pt>
            </c:numLit>
          </c:yVal>
          <c:smooth val="0"/>
          <c:extLst>
            <c:ext xmlns:c16="http://schemas.microsoft.com/office/drawing/2014/chart" uri="{C3380CC4-5D6E-409C-BE32-E72D297353CC}">
              <c16:uniqueId val="{00000002-6292-40D4-AAE4-34E92E3960D5}"/>
            </c:ext>
          </c:extLst>
        </c:ser>
        <c:dLbls>
          <c:showLegendKey val="0"/>
          <c:showVal val="0"/>
          <c:showCatName val="0"/>
          <c:showSerName val="0"/>
          <c:showPercent val="0"/>
          <c:showBubbleSize val="0"/>
        </c:dLbls>
        <c:axId val="385171208"/>
        <c:axId val="385166896"/>
      </c:scatterChart>
      <c:valAx>
        <c:axId val="385171208"/>
        <c:scaling>
          <c:orientation val="minMax"/>
          <c:max val="40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Field Value ( #/Acre)</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166896"/>
        <c:crosses val="autoZero"/>
        <c:crossBetween val="midCat"/>
      </c:valAx>
      <c:valAx>
        <c:axId val="385166896"/>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Index Value</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171208"/>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Leaf Litter Processing Rate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v>Rising Limb</c:v>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backward val="1"/>
            <c:dispRSqr val="0"/>
            <c:dispEq val="1"/>
            <c:trendlineLbl>
              <c:layout>
                <c:manualLayout>
                  <c:x val="-7.5650150537781471E-2"/>
                  <c:y val="0.2677095895089067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6="http://schemas.microsoft.com/office/drawing/2014/chart" uri="{C3380CC4-5D6E-409C-BE32-E72D297353CC}">
              <c16:uniqueId val="{00000000-CB0C-4C52-8BEE-D1EFCE617BFC}"/>
            </c:ext>
          </c:extLst>
        </c:ser>
        <c:ser>
          <c:idx val="1"/>
          <c:order val="1"/>
          <c:tx>
            <c:v>Falling Limb</c:v>
          </c:tx>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forward val="1"/>
            <c:dispRSqr val="0"/>
            <c:dispEq val="1"/>
            <c:trendlineLbl>
              <c:layout>
                <c:manualLayout>
                  <c:x val="-7.6513541561592263E-2"/>
                  <c:y val="-0.50697119839028426"/>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6="http://schemas.microsoft.com/office/drawing/2014/chart" uri="{C3380CC4-5D6E-409C-BE32-E72D297353CC}">
              <c16:uniqueId val="{00000001-CB0C-4C52-8BEE-D1EFCE617BFC}"/>
            </c:ext>
          </c:extLst>
        </c:ser>
        <c:ser>
          <c:idx val="2"/>
          <c:order val="2"/>
          <c:tx>
            <c:v>crest</c:v>
          </c:tx>
          <c:spPr>
            <a:ln w="25400" cap="rnd">
              <a:solidFill>
                <a:srgbClr val="FF0000"/>
              </a:solidFill>
              <a:round/>
            </a:ln>
            <a:effectLst/>
          </c:spPr>
          <c:marker>
            <c:symbol val="none"/>
          </c:marker>
          <c:xVal>
            <c:numRef>
              <c:f>'Reference Curves'!#REF!</c:f>
            </c:numRef>
          </c:xVal>
          <c:yVal>
            <c:numLit>
              <c:formatCode>General</c:formatCode>
              <c:ptCount val="2"/>
              <c:pt idx="0">
                <c:v>1</c:v>
              </c:pt>
              <c:pt idx="1">
                <c:v>1</c:v>
              </c:pt>
            </c:numLit>
          </c:yVal>
          <c:smooth val="0"/>
          <c:extLst>
            <c:ext xmlns:c16="http://schemas.microsoft.com/office/drawing/2014/chart" uri="{C3380CC4-5D6E-409C-BE32-E72D297353CC}">
              <c16:uniqueId val="{00000007-79BA-4502-AC4E-B1569BF1790E}"/>
            </c:ext>
          </c:extLst>
        </c:ser>
        <c:dLbls>
          <c:showLegendKey val="0"/>
          <c:showVal val="0"/>
          <c:showCatName val="0"/>
          <c:showSerName val="0"/>
          <c:showPercent val="0"/>
          <c:showBubbleSize val="0"/>
        </c:dLbls>
        <c:axId val="385784792"/>
        <c:axId val="385790280"/>
      </c:scatterChart>
      <c:valAx>
        <c:axId val="385784792"/>
        <c:scaling>
          <c:orientation val="minMax"/>
          <c:max val="2.5"/>
          <c:min val="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a:t>
                </a:r>
                <a:r>
                  <a:rPr lang="en-US" sz="1100" b="0" i="0" u="none" strike="noStrike" baseline="0">
                    <a:effectLst/>
                  </a:rPr>
                  <a:t>Ratio</a:t>
                </a:r>
                <a:r>
                  <a:rPr lang="en-US" sz="1100"/>
                  <a:t>)</a:t>
                </a:r>
              </a:p>
            </c:rich>
          </c:tx>
          <c:layout>
            <c:manualLayout>
              <c:xMode val="edge"/>
              <c:yMode val="edge"/>
              <c:x val="0.40311496595148039"/>
              <c:y val="0.92784474417183438"/>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790280"/>
        <c:crosses val="autoZero"/>
        <c:crossBetween val="midCat"/>
      </c:valAx>
      <c:valAx>
        <c:axId val="385790280"/>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784792"/>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SC</a:t>
            </a:r>
            <a:r>
              <a:rPr lang="en-US" baseline="0"/>
              <a:t> </a:t>
            </a:r>
            <a:r>
              <a:rPr lang="en-US"/>
              <a:t>BI Score - Bioassessment Class 1</a:t>
            </a:r>
          </a:p>
        </c:rich>
      </c:tx>
      <c:layout>
        <c:manualLayout>
          <c:xMode val="edge"/>
          <c:yMode val="edge"/>
          <c:x val="0.26271345029239768"/>
          <c:y val="4.2874914967565299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183254036708309"/>
          <c:y val="0.14489397844929333"/>
          <c:w val="0.83795257041633042"/>
          <c:h val="0.73308200458506856"/>
        </c:manualLayout>
      </c:layout>
      <c:scatterChart>
        <c:scatterStyle val="lineMarker"/>
        <c:varyColors val="0"/>
        <c:ser>
          <c:idx val="0"/>
          <c:order val="0"/>
          <c:tx>
            <c:strRef>
              <c:f>'Reference Curves'!$AO$115</c:f>
              <c:strCache>
                <c:ptCount val="1"/>
                <c:pt idx="0">
                  <c:v>NF/FAR</c:v>
                </c:pt>
              </c:strCache>
            </c:strRef>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backward val="15"/>
            <c:dispRSqr val="0"/>
            <c:dispEq val="1"/>
            <c:trendlineLbl>
              <c:layout>
                <c:manualLayout>
                  <c:x val="-8.540627158447299E-2"/>
                  <c:y val="3.6562258934102608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Curves'!$AO$111:$AS$111</c:f>
              <c:numCache>
                <c:formatCode>General</c:formatCode>
                <c:ptCount val="5"/>
                <c:pt idx="0" formatCode="0.000">
                  <c:v>-1</c:v>
                </c:pt>
                <c:pt idx="4" formatCode="0.000">
                  <c:v>0.05</c:v>
                </c:pt>
              </c:numCache>
            </c:numRef>
          </c:xVal>
          <c:yVal>
            <c:numRef>
              <c:f>'Reference Curves'!$AO$112:$AS$112</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0-06EC-42A6-BA8B-0158167C91F3}"/>
            </c:ext>
          </c:extLst>
        </c:ser>
        <c:ser>
          <c:idx val="1"/>
          <c:order val="1"/>
          <c:tx>
            <c:strRef>
              <c:f>'Reference Curves'!$AP$115</c:f>
              <c:strCache>
                <c:ptCount val="1"/>
                <c:pt idx="0">
                  <c:v>F</c:v>
                </c:pt>
              </c:strCache>
            </c:strRef>
          </c:tx>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3.7485406508904681E-2"/>
                  <c:y val="0.14190718902519456"/>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Curves'!$AQ$111:$AT$111</c:f>
              <c:numCache>
                <c:formatCode>General</c:formatCode>
                <c:ptCount val="4"/>
                <c:pt idx="2" formatCode="0.000">
                  <c:v>0.05</c:v>
                </c:pt>
                <c:pt idx="3" formatCode="0.000">
                  <c:v>1</c:v>
                </c:pt>
              </c:numCache>
            </c:numRef>
          </c:xVal>
          <c:yVal>
            <c:numRef>
              <c:f>'Reference Curves'!$AQ$112:$AT$112</c:f>
              <c:numCache>
                <c:formatCode>0.00</c:formatCode>
                <c:ptCount val="4"/>
                <c:pt idx="0">
                  <c:v>0.3</c:v>
                </c:pt>
                <c:pt idx="1">
                  <c:v>0.69</c:v>
                </c:pt>
                <c:pt idx="2">
                  <c:v>0.7</c:v>
                </c:pt>
                <c:pt idx="3">
                  <c:v>1</c:v>
                </c:pt>
              </c:numCache>
            </c:numRef>
          </c:yVal>
          <c:smooth val="0"/>
          <c:extLst>
            <c:ext xmlns:c16="http://schemas.microsoft.com/office/drawing/2014/chart" uri="{C3380CC4-5D6E-409C-BE32-E72D297353CC}">
              <c16:uniqueId val="{00000002-3012-4AE1-A273-451C5EE74E71}"/>
            </c:ext>
          </c:extLst>
        </c:ser>
        <c:dLbls>
          <c:showLegendKey val="0"/>
          <c:showVal val="0"/>
          <c:showCatName val="0"/>
          <c:showSerName val="0"/>
          <c:showPercent val="0"/>
          <c:showBubbleSize val="0"/>
        </c:dLbls>
        <c:axId val="385786360"/>
        <c:axId val="385787536"/>
      </c:scatterChart>
      <c:valAx>
        <c:axId val="385786360"/>
        <c:scaling>
          <c:orientation val="minMax"/>
          <c:max val="1"/>
          <c:min val="-1"/>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(Unitless)</a:t>
                </a:r>
              </a:p>
            </c:rich>
          </c:tx>
          <c:layout>
            <c:manualLayout>
              <c:xMode val="edge"/>
              <c:yMode val="edge"/>
              <c:x val="0.42544519814451404"/>
              <c:y val="0.9428468082244077"/>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787536"/>
        <c:crosses val="autoZero"/>
        <c:crossBetween val="midCat"/>
      </c:valAx>
      <c:valAx>
        <c:axId val="385787536"/>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layout>
            <c:manualLayout>
              <c:xMode val="edge"/>
              <c:yMode val="edge"/>
              <c:x val="1.5467602679914405E-2"/>
              <c:y val="0.44086919606802855"/>
            </c:manualLayout>
          </c:layout>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786360"/>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SC</a:t>
            </a:r>
            <a:r>
              <a:rPr lang="en-US" baseline="0"/>
              <a:t> </a:t>
            </a:r>
            <a:r>
              <a:rPr lang="en-US"/>
              <a:t>BI Score - Bioassessment Class 2</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strRef>
              <c:f>'Reference Curves'!$AO$149</c:f>
              <c:strCache>
                <c:ptCount val="1"/>
                <c:pt idx="0">
                  <c:v>NF/FAR</c:v>
                </c:pt>
              </c:strCache>
            </c:strRef>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0.12818194239621566"/>
                  <c:y val="0.10987581894723618"/>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Curves'!$AO$145:$AS$145</c:f>
              <c:numCache>
                <c:formatCode>General</c:formatCode>
                <c:ptCount val="5"/>
                <c:pt idx="0" formatCode="0.000">
                  <c:v>-1</c:v>
                </c:pt>
                <c:pt idx="4">
                  <c:v>2E-3</c:v>
                </c:pt>
              </c:numCache>
            </c:numRef>
          </c:xVal>
          <c:yVal>
            <c:numRef>
              <c:f>'Reference Curves'!$AO$146:$AS$146</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0-0DF5-4371-9059-C9B850753AF2}"/>
            </c:ext>
          </c:extLst>
        </c:ser>
        <c:ser>
          <c:idx val="2"/>
          <c:order val="1"/>
          <c:tx>
            <c:strRef>
              <c:f>'Reference Curves'!$AP$149</c:f>
              <c:strCache>
                <c:ptCount val="1"/>
                <c:pt idx="0">
                  <c:v>F</c:v>
                </c:pt>
              </c:strCache>
            </c:strRef>
          </c:tx>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5.9552871001634922E-2"/>
                  <c:y val="0.15874480474083941"/>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rendlineLbl>
          </c:trendline>
          <c:xVal>
            <c:numRef>
              <c:f>'Reference Curves'!$AS$145:$AT$145</c:f>
              <c:numCache>
                <c:formatCode>0.000</c:formatCode>
                <c:ptCount val="2"/>
                <c:pt idx="0" formatCode="General">
                  <c:v>2E-3</c:v>
                </c:pt>
                <c:pt idx="1">
                  <c:v>1</c:v>
                </c:pt>
              </c:numCache>
            </c:numRef>
          </c:xVal>
          <c:yVal>
            <c:numRef>
              <c:f>'Reference Curves'!$AS$146:$AT$146</c:f>
              <c:numCache>
                <c:formatCode>0.00</c:formatCode>
                <c:ptCount val="2"/>
                <c:pt idx="0">
                  <c:v>0.7</c:v>
                </c:pt>
                <c:pt idx="1">
                  <c:v>1</c:v>
                </c:pt>
              </c:numCache>
            </c:numRef>
          </c:yVal>
          <c:smooth val="0"/>
          <c:extLst>
            <c:ext xmlns:c16="http://schemas.microsoft.com/office/drawing/2014/chart" uri="{C3380CC4-5D6E-409C-BE32-E72D297353CC}">
              <c16:uniqueId val="{00000003-F4D3-4B08-9843-990360943B9D}"/>
            </c:ext>
          </c:extLst>
        </c:ser>
        <c:dLbls>
          <c:showLegendKey val="0"/>
          <c:showVal val="0"/>
          <c:showCatName val="0"/>
          <c:showSerName val="0"/>
          <c:showPercent val="0"/>
          <c:showBubbleSize val="0"/>
        </c:dLbls>
        <c:axId val="385788320"/>
        <c:axId val="385784400"/>
      </c:scatterChart>
      <c:valAx>
        <c:axId val="385788320"/>
        <c:scaling>
          <c:orientation val="minMax"/>
          <c:max val="1"/>
          <c:min val="-1"/>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(Unitless)</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784400"/>
        <c:crosses val="autoZero"/>
        <c:crossBetween val="midCat"/>
      </c:valAx>
      <c:valAx>
        <c:axId val="385784400"/>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layout>
            <c:manualLayout>
              <c:xMode val="edge"/>
              <c:yMode val="edge"/>
              <c:x val="9.0212398699733888E-3"/>
              <c:y val="0.43573726948453295"/>
            </c:manualLayout>
          </c:layout>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788320"/>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SC BI Score - Bioassessment Class</a:t>
            </a:r>
            <a:r>
              <a:rPr lang="en-US" baseline="0"/>
              <a:t> 3</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strRef>
              <c:f>'Reference Curves'!$AO$184</c:f>
              <c:strCache>
                <c:ptCount val="1"/>
                <c:pt idx="0">
                  <c:v>NF/FAR</c:v>
                </c:pt>
              </c:strCache>
            </c:strRef>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5.0102953347047834E-2"/>
                  <c:y val="1.6184532949978764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Curves'!$AO$180:$AS$180</c:f>
              <c:numCache>
                <c:formatCode>0.0</c:formatCode>
                <c:ptCount val="5"/>
                <c:pt idx="0" formatCode="0.000">
                  <c:v>-1</c:v>
                </c:pt>
                <c:pt idx="4" formatCode="0.000">
                  <c:v>5.0000000000000001E-3</c:v>
                </c:pt>
              </c:numCache>
            </c:numRef>
          </c:xVal>
          <c:yVal>
            <c:numRef>
              <c:f>'Reference Curves'!$AO$181:$AS$181</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0-05E4-4BB8-B81D-475CA30A71B8}"/>
            </c:ext>
          </c:extLst>
        </c:ser>
        <c:ser>
          <c:idx val="2"/>
          <c:order val="1"/>
          <c:tx>
            <c:strRef>
              <c:f>'Reference Curves'!$AP$184</c:f>
              <c:strCache>
                <c:ptCount val="1"/>
                <c:pt idx="0">
                  <c:v>F</c:v>
                </c:pt>
              </c:strCache>
            </c:strRef>
          </c:tx>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3.1654021589526099E-2"/>
                  <c:y val="0.14636237897648685"/>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Curves'!$AS$180:$AT$180</c:f>
              <c:numCache>
                <c:formatCode>0.000</c:formatCode>
                <c:ptCount val="2"/>
                <c:pt idx="0">
                  <c:v>5.0000000000000001E-3</c:v>
                </c:pt>
                <c:pt idx="1">
                  <c:v>1</c:v>
                </c:pt>
              </c:numCache>
            </c:numRef>
          </c:xVal>
          <c:yVal>
            <c:numRef>
              <c:f>'Reference Curves'!$AS$181:$AT$181</c:f>
              <c:numCache>
                <c:formatCode>0.00</c:formatCode>
                <c:ptCount val="2"/>
                <c:pt idx="0">
                  <c:v>0.7</c:v>
                </c:pt>
                <c:pt idx="1">
                  <c:v>1</c:v>
                </c:pt>
              </c:numCache>
            </c:numRef>
          </c:yVal>
          <c:smooth val="0"/>
          <c:extLst>
            <c:ext xmlns:c16="http://schemas.microsoft.com/office/drawing/2014/chart" uri="{C3380CC4-5D6E-409C-BE32-E72D297353CC}">
              <c16:uniqueId val="{00000003-8EAD-4A17-90F3-03F787BF4049}"/>
            </c:ext>
          </c:extLst>
        </c:ser>
        <c:dLbls>
          <c:showLegendKey val="0"/>
          <c:showVal val="0"/>
          <c:showCatName val="0"/>
          <c:showSerName val="0"/>
          <c:showPercent val="0"/>
          <c:showBubbleSize val="0"/>
        </c:dLbls>
        <c:axId val="385786752"/>
        <c:axId val="385788712"/>
      </c:scatterChart>
      <c:valAx>
        <c:axId val="385786752"/>
        <c:scaling>
          <c:orientation val="minMax"/>
          <c:max val="1"/>
          <c:min val="-1"/>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(Unitless)</a:t>
                </a:r>
              </a:p>
            </c:rich>
          </c:tx>
          <c:layout>
            <c:manualLayout>
              <c:xMode val="edge"/>
              <c:yMode val="edge"/>
              <c:x val="0.38947180261823755"/>
              <c:y val="0.94123923418599176"/>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788712"/>
        <c:crosses val="autoZero"/>
        <c:crossBetween val="midCat"/>
      </c:valAx>
      <c:valAx>
        <c:axId val="385788712"/>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layout>
            <c:manualLayout>
              <c:xMode val="edge"/>
              <c:yMode val="edge"/>
              <c:x val="1.1329934471941194E-2"/>
              <c:y val="0.43338961998950293"/>
            </c:manualLayout>
          </c:layout>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786752"/>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Erosion Rate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0.1710987518331501"/>
                  <c:y val="-7.6307964268094566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Curves'!$U$79:$W$79</c:f>
              <c:numCache>
                <c:formatCode>0.00</c:formatCode>
                <c:ptCount val="3"/>
                <c:pt idx="0">
                  <c:v>0.71</c:v>
                </c:pt>
                <c:pt idx="2">
                  <c:v>0.4</c:v>
                </c:pt>
              </c:numCache>
            </c:numRef>
          </c:xVal>
          <c:yVal>
            <c:numRef>
              <c:f>'Reference Curves'!$U$80:$W$80</c:f>
              <c:numCache>
                <c:formatCode>0.00</c:formatCode>
                <c:ptCount val="3"/>
                <c:pt idx="0">
                  <c:v>0</c:v>
                </c:pt>
                <c:pt idx="1">
                  <c:v>0.28999999999999998</c:v>
                </c:pt>
                <c:pt idx="2">
                  <c:v>0.3</c:v>
                </c:pt>
              </c:numCache>
            </c:numRef>
          </c:yVal>
          <c:smooth val="0"/>
          <c:extLst>
            <c:ext xmlns:c16="http://schemas.microsoft.com/office/drawing/2014/chart" uri="{C3380CC4-5D6E-409C-BE32-E72D297353CC}">
              <c16:uniqueId val="{00000000-8D73-44F2-AF23-B2C97665876A}"/>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9.7906243539293128E-2"/>
                  <c:y val="-4.6926221229805318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Curves'!$W$79:$Y$79</c:f>
              <c:numCache>
                <c:formatCode>0.00</c:formatCode>
                <c:ptCount val="3"/>
                <c:pt idx="0">
                  <c:v>0.4</c:v>
                </c:pt>
                <c:pt idx="2">
                  <c:v>0.2</c:v>
                </c:pt>
              </c:numCache>
            </c:numRef>
          </c:xVal>
          <c:yVal>
            <c:numRef>
              <c:f>'Reference Curves'!$W$80:$Y$80</c:f>
              <c:numCache>
                <c:formatCode>0.00</c:formatCode>
                <c:ptCount val="3"/>
                <c:pt idx="0">
                  <c:v>0.3</c:v>
                </c:pt>
                <c:pt idx="1">
                  <c:v>0.69</c:v>
                </c:pt>
                <c:pt idx="2">
                  <c:v>0.7</c:v>
                </c:pt>
              </c:numCache>
            </c:numRef>
          </c:yVal>
          <c:smooth val="0"/>
          <c:extLst>
            <c:ext xmlns:c16="http://schemas.microsoft.com/office/drawing/2014/chart" uri="{C3380CC4-5D6E-409C-BE32-E72D297353CC}">
              <c16:uniqueId val="{00000002-3CC1-497D-8C94-7AB7BAB41C95}"/>
            </c:ext>
          </c:extLst>
        </c:ser>
        <c:ser>
          <c:idx val="2"/>
          <c:order val="2"/>
          <c:spPr>
            <a:ln w="25400" cap="rnd">
              <a:noFill/>
              <a:round/>
            </a:ln>
            <a:effectLst/>
          </c:spPr>
          <c:marker>
            <c:symbol val="circle"/>
            <c:size val="5"/>
            <c:spPr>
              <a:solidFill>
                <a:schemeClr val="accent3"/>
              </a:solidFill>
              <a:ln w="9525">
                <a:solidFill>
                  <a:schemeClr val="accent3"/>
                </a:solidFill>
              </a:ln>
              <a:effectLst/>
            </c:spPr>
          </c:marker>
          <c:trendline>
            <c:spPr>
              <a:ln w="19050" cap="rnd">
                <a:solidFill>
                  <a:schemeClr val="accent3"/>
                </a:solidFill>
                <a:prstDash val="sysDot"/>
              </a:ln>
              <a:effectLst/>
            </c:spPr>
            <c:trendlineType val="linear"/>
            <c:dispRSqr val="0"/>
            <c:dispEq val="1"/>
            <c:trendlineLbl>
              <c:layout>
                <c:manualLayout>
                  <c:x val="-3.6364920221413091E-2"/>
                  <c:y val="-7.0084873681079185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rendlineLbl>
          </c:trendline>
          <c:xVal>
            <c:numRef>
              <c:f>'Reference Curves'!$Y$79:$Z$79</c:f>
              <c:numCache>
                <c:formatCode>0.00</c:formatCode>
                <c:ptCount val="2"/>
                <c:pt idx="0">
                  <c:v>0.2</c:v>
                </c:pt>
                <c:pt idx="1">
                  <c:v>0.1</c:v>
                </c:pt>
              </c:numCache>
            </c:numRef>
          </c:xVal>
          <c:yVal>
            <c:numRef>
              <c:f>'Reference Curves'!$Y$80:$Z$80</c:f>
              <c:numCache>
                <c:formatCode>0.00</c:formatCode>
                <c:ptCount val="2"/>
                <c:pt idx="0">
                  <c:v>0.7</c:v>
                </c:pt>
                <c:pt idx="1">
                  <c:v>1</c:v>
                </c:pt>
              </c:numCache>
            </c:numRef>
          </c:yVal>
          <c:smooth val="0"/>
          <c:extLst>
            <c:ext xmlns:c16="http://schemas.microsoft.com/office/drawing/2014/chart" uri="{C3380CC4-5D6E-409C-BE32-E72D297353CC}">
              <c16:uniqueId val="{00000003-3CC1-497D-8C94-7AB7BAB41C95}"/>
            </c:ext>
          </c:extLst>
        </c:ser>
        <c:dLbls>
          <c:showLegendKey val="0"/>
          <c:showVal val="0"/>
          <c:showCatName val="0"/>
          <c:showSerName val="0"/>
          <c:showPercent val="0"/>
          <c:showBubbleSize val="0"/>
        </c:dLbls>
        <c:axId val="385791456"/>
        <c:axId val="385789888"/>
      </c:scatterChart>
      <c:valAx>
        <c:axId val="385791456"/>
        <c:scaling>
          <c:orientation val="minMax"/>
          <c:min val="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(ft/yr)</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789888"/>
        <c:crosses val="autoZero"/>
        <c:crossBetween val="midCat"/>
      </c:valAx>
      <c:valAx>
        <c:axId val="385789888"/>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791456"/>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Summer Daily Maximum  </a:t>
            </a:r>
          </a:p>
        </c:rich>
      </c:tx>
      <c:overlay val="0"/>
      <c:spPr>
        <a:solidFill>
          <a:sysClr val="window" lastClr="FFFFFF"/>
        </a:solid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strRef>
              <c:f>'Reference Curves'!$AF$14</c:f>
              <c:strCache>
                <c:ptCount val="1"/>
                <c:pt idx="0">
                  <c:v>Coldwater</c:v>
                </c:pt>
              </c:strCache>
            </c:strRef>
          </c:tx>
          <c:spPr>
            <a:ln w="25400" cap="rnd">
              <a:noFill/>
              <a:round/>
            </a:ln>
            <a:effectLst/>
          </c:spPr>
          <c:marker>
            <c:symbol val="circle"/>
            <c:size val="5"/>
            <c:spPr>
              <a:solidFill>
                <a:schemeClr val="accent1"/>
              </a:solidFill>
              <a:ln w="9525">
                <a:solidFill>
                  <a:schemeClr val="accent1"/>
                </a:solidFill>
              </a:ln>
              <a:effectLst/>
            </c:spPr>
          </c:marker>
          <c:dPt>
            <c:idx val="5"/>
            <c:marker>
              <c:symbol val="circle"/>
              <c:size val="5"/>
              <c:spPr>
                <a:solidFill>
                  <a:schemeClr val="accent1"/>
                </a:solidFill>
                <a:ln w="9525">
                  <a:solidFill>
                    <a:schemeClr val="accent1"/>
                  </a:solidFill>
                </a:ln>
                <a:effectLst/>
              </c:spPr>
            </c:marker>
            <c:bubble3D val="0"/>
            <c:extLst>
              <c:ext xmlns:c16="http://schemas.microsoft.com/office/drawing/2014/chart" uri="{C3380CC4-5D6E-409C-BE32-E72D297353CC}">
                <c16:uniqueId val="{00000001-AADC-48AB-B2B9-020E3D8619D0}"/>
              </c:ext>
            </c:extLst>
          </c:dPt>
          <c:trendline>
            <c:spPr>
              <a:ln w="19050" cap="rnd">
                <a:solidFill>
                  <a:schemeClr val="accent1"/>
                </a:solidFill>
                <a:prstDash val="sysDot"/>
              </a:ln>
              <a:effectLst/>
            </c:spPr>
            <c:trendlineType val="linear"/>
            <c:dispRSqr val="0"/>
            <c:dispEq val="1"/>
            <c:trendlineLbl>
              <c:layout>
                <c:manualLayout>
                  <c:x val="-0.20610751364782776"/>
                  <c:y val="-0.25130847290009689"/>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Curves'!$AF$10:$AK$10</c:f>
              <c:numCache>
                <c:formatCode>0.0</c:formatCode>
                <c:ptCount val="6"/>
                <c:pt idx="0">
                  <c:v>77</c:v>
                </c:pt>
                <c:pt idx="4">
                  <c:v>64</c:v>
                </c:pt>
                <c:pt idx="5">
                  <c:v>58</c:v>
                </c:pt>
              </c:numCache>
            </c:numRef>
          </c:xVal>
          <c:yVal>
            <c:numRef>
              <c:f>'Reference Curves'!$AF$11:$AK$11</c:f>
              <c:numCache>
                <c:formatCode>0.00</c:formatCode>
                <c:ptCount val="6"/>
                <c:pt idx="0">
                  <c:v>0</c:v>
                </c:pt>
                <c:pt idx="1">
                  <c:v>0.28999999999999998</c:v>
                </c:pt>
                <c:pt idx="2">
                  <c:v>0.3</c:v>
                </c:pt>
                <c:pt idx="3">
                  <c:v>0.69</c:v>
                </c:pt>
                <c:pt idx="4">
                  <c:v>0.7</c:v>
                </c:pt>
                <c:pt idx="5">
                  <c:v>1</c:v>
                </c:pt>
              </c:numCache>
            </c:numRef>
          </c:yVal>
          <c:smooth val="0"/>
          <c:extLst>
            <c:ext xmlns:c16="http://schemas.microsoft.com/office/drawing/2014/chart" uri="{C3380CC4-5D6E-409C-BE32-E72D297353CC}">
              <c16:uniqueId val="{00000000-EBF2-4A9E-821D-65699199DC52}"/>
            </c:ext>
          </c:extLst>
        </c:ser>
        <c:dLbls>
          <c:showLegendKey val="0"/>
          <c:showVal val="0"/>
          <c:showCatName val="0"/>
          <c:showSerName val="0"/>
          <c:showPercent val="0"/>
          <c:showBubbleSize val="0"/>
        </c:dLbls>
        <c:axId val="386330768"/>
        <c:axId val="386332336"/>
      </c:scatterChart>
      <c:valAx>
        <c:axId val="386330768"/>
        <c:scaling>
          <c:orientation val="minMax"/>
          <c:min val="5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(⁰F)</a:t>
                </a:r>
              </a:p>
            </c:rich>
          </c:tx>
          <c:layout>
            <c:manualLayout>
              <c:xMode val="edge"/>
              <c:yMode val="edge"/>
              <c:x val="0.36772839356787868"/>
              <c:y val="0.92181068121860155"/>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6332336"/>
        <c:crosses val="autoZero"/>
        <c:crossBetween val="midCat"/>
      </c:valAx>
      <c:valAx>
        <c:axId val="386332336"/>
        <c:scaling>
          <c:orientation val="minMax"/>
          <c:max val="1"/>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6330768"/>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Riparian</a:t>
            </a:r>
            <a:r>
              <a:rPr lang="en-US" baseline="0"/>
              <a:t> Vegetation Density</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1"/>
            <c:dispEq val="1"/>
            <c:trendlineLbl>
              <c:layout>
                <c:manualLayout>
                  <c:x val="-0.62154362696391308"/>
                  <c:y val="8.692740728762538E-2"/>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xVal>
            <c:numRef>
              <c:f>'Performance Stds'!#REF!</c:f>
            </c:numRef>
          </c:xVal>
          <c:yVal>
            <c:numRef>
              <c:f>'Performance Stds'!#REF!</c:f>
              <c:numCache>
                <c:formatCode>General</c:formatCode>
                <c:ptCount val="1"/>
                <c:pt idx="0">
                  <c:v>1</c:v>
                </c:pt>
              </c:numCache>
            </c:numRef>
          </c:yVal>
          <c:smooth val="0"/>
          <c:extLst>
            <c:ext xmlns:c16="http://schemas.microsoft.com/office/drawing/2014/chart" uri="{C3380CC4-5D6E-409C-BE32-E72D297353CC}">
              <c16:uniqueId val="{00000000-7E87-4708-8D6A-0B0F5C65BEC1}"/>
            </c:ext>
          </c:extLst>
        </c:ser>
        <c:dLbls>
          <c:showLegendKey val="0"/>
          <c:showVal val="0"/>
          <c:showCatName val="0"/>
          <c:showSerName val="0"/>
          <c:showPercent val="0"/>
          <c:showBubbleSize val="0"/>
        </c:dLbls>
        <c:axId val="386333120"/>
        <c:axId val="386332728"/>
      </c:scatterChart>
      <c:valAx>
        <c:axId val="386333120"/>
        <c:scaling>
          <c:orientation val="minMax"/>
          <c:min val="100"/>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6332728"/>
        <c:crosses val="autoZero"/>
        <c:crossBetween val="midCat"/>
      </c:valAx>
      <c:valAx>
        <c:axId val="386332728"/>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6333120"/>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Percent Riffle for E</a:t>
            </a:r>
            <a:r>
              <a:rPr lang="en-US" baseline="0"/>
              <a:t> </a:t>
            </a:r>
            <a:r>
              <a:rPr lang="en-US"/>
              <a:t>Streams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poly"/>
            <c:order val="2"/>
            <c:dispRSqr val="0"/>
            <c:dispEq val="1"/>
            <c:trendlineLbl>
              <c:layout>
                <c:manualLayout>
                  <c:x val="-0.20245964441424052"/>
                  <c:y val="9.5891596092373826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Curves'!$U$832:$Z$832</c:f>
              <c:numCache>
                <c:formatCode>General</c:formatCode>
                <c:ptCount val="6"/>
                <c:pt idx="0" formatCode="0">
                  <c:v>0</c:v>
                </c:pt>
                <c:pt idx="5">
                  <c:v>43</c:v>
                </c:pt>
              </c:numCache>
            </c:numRef>
          </c:xVal>
          <c:yVal>
            <c:numRef>
              <c:f>'Reference Curves'!$U$834:$Z$834</c:f>
              <c:numCache>
                <c:formatCode>0.00</c:formatCode>
                <c:ptCount val="6"/>
                <c:pt idx="0">
                  <c:v>0</c:v>
                </c:pt>
                <c:pt idx="1">
                  <c:v>0.28999999999999998</c:v>
                </c:pt>
                <c:pt idx="2">
                  <c:v>0.3</c:v>
                </c:pt>
                <c:pt idx="3">
                  <c:v>0.69</c:v>
                </c:pt>
                <c:pt idx="4">
                  <c:v>0.7</c:v>
                </c:pt>
                <c:pt idx="5">
                  <c:v>1</c:v>
                </c:pt>
              </c:numCache>
            </c:numRef>
          </c:yVal>
          <c:smooth val="0"/>
          <c:extLst>
            <c:ext xmlns:c16="http://schemas.microsoft.com/office/drawing/2014/chart" uri="{C3380CC4-5D6E-409C-BE32-E72D297353CC}">
              <c16:uniqueId val="{00000000-54C0-4B16-B14E-5188ECFE15D4}"/>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8.029349942760361E-3"/>
                  <c:y val="-0.63087280222802455"/>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Curves'!$U$833:$Z$833</c:f>
              <c:numCache>
                <c:formatCode>General</c:formatCode>
                <c:ptCount val="6"/>
                <c:pt idx="0" formatCode="0">
                  <c:v>100</c:v>
                </c:pt>
                <c:pt idx="5">
                  <c:v>63</c:v>
                </c:pt>
              </c:numCache>
            </c:numRef>
          </c:xVal>
          <c:yVal>
            <c:numRef>
              <c:f>'Reference Curves'!$U$834:$Z$834</c:f>
              <c:numCache>
                <c:formatCode>0.00</c:formatCode>
                <c:ptCount val="6"/>
                <c:pt idx="0">
                  <c:v>0</c:v>
                </c:pt>
                <c:pt idx="1">
                  <c:v>0.28999999999999998</c:v>
                </c:pt>
                <c:pt idx="2">
                  <c:v>0.3</c:v>
                </c:pt>
                <c:pt idx="3">
                  <c:v>0.69</c:v>
                </c:pt>
                <c:pt idx="4">
                  <c:v>0.7</c:v>
                </c:pt>
                <c:pt idx="5">
                  <c:v>1</c:v>
                </c:pt>
              </c:numCache>
            </c:numRef>
          </c:yVal>
          <c:smooth val="0"/>
          <c:extLst>
            <c:ext xmlns:c16="http://schemas.microsoft.com/office/drawing/2014/chart" uri="{C3380CC4-5D6E-409C-BE32-E72D297353CC}">
              <c16:uniqueId val="{00000002-3E24-4CF4-91C2-B117C6856D67}"/>
            </c:ext>
          </c:extLst>
        </c:ser>
        <c:ser>
          <c:idx val="2"/>
          <c:order val="2"/>
          <c:spPr>
            <a:ln w="25400" cap="rnd">
              <a:solidFill>
                <a:srgbClr val="FF0000"/>
              </a:solidFill>
              <a:round/>
            </a:ln>
            <a:effectLst/>
          </c:spPr>
          <c:marker>
            <c:symbol val="none"/>
          </c:marker>
          <c:xVal>
            <c:numRef>
              <c:f>'Reference Curves'!$Z$832:$Z$833</c:f>
              <c:numCache>
                <c:formatCode>General</c:formatCode>
                <c:ptCount val="2"/>
                <c:pt idx="0">
                  <c:v>43</c:v>
                </c:pt>
                <c:pt idx="1">
                  <c:v>63</c:v>
                </c:pt>
              </c:numCache>
            </c:numRef>
          </c:xVal>
          <c:yVal>
            <c:numLit>
              <c:formatCode>General</c:formatCode>
              <c:ptCount val="2"/>
              <c:pt idx="0">
                <c:v>1</c:v>
              </c:pt>
              <c:pt idx="1">
                <c:v>1</c:v>
              </c:pt>
            </c:numLit>
          </c:yVal>
          <c:smooth val="0"/>
          <c:extLst>
            <c:ext xmlns:c16="http://schemas.microsoft.com/office/drawing/2014/chart" uri="{C3380CC4-5D6E-409C-BE32-E72D297353CC}">
              <c16:uniqueId val="{00000003-0723-4FCC-B008-EB8DF38DBC44}"/>
            </c:ext>
          </c:extLst>
        </c:ser>
        <c:dLbls>
          <c:showLegendKey val="0"/>
          <c:showVal val="0"/>
          <c:showCatName val="0"/>
          <c:showSerName val="0"/>
          <c:showPercent val="0"/>
          <c:showBubbleSize val="0"/>
        </c:dLbls>
        <c:axId val="386330376"/>
        <c:axId val="386334296"/>
      </c:scatterChart>
      <c:valAx>
        <c:axId val="386330376"/>
        <c:scaling>
          <c:orientation val="minMax"/>
          <c:max val="100"/>
          <c:min val="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6334296"/>
        <c:crosses val="autoZero"/>
        <c:crossBetween val="midCat"/>
      </c:valAx>
      <c:valAx>
        <c:axId val="386334296"/>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6330376"/>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Phosphorous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v>F</c:v>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0.15768513226954911"/>
                  <c:y val="-0.1259623023697907"/>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Curves'!$AJ$113:$AK$113</c:f>
              <c:numCache>
                <c:formatCode>0.00</c:formatCode>
                <c:ptCount val="2"/>
                <c:pt idx="0">
                  <c:v>0.08</c:v>
                </c:pt>
                <c:pt idx="1">
                  <c:v>0.04</c:v>
                </c:pt>
              </c:numCache>
            </c:numRef>
          </c:xVal>
          <c:yVal>
            <c:numRef>
              <c:f>'Reference Curves'!$AJ$114:$AK$114</c:f>
              <c:numCache>
                <c:formatCode>0.00</c:formatCode>
                <c:ptCount val="2"/>
                <c:pt idx="0">
                  <c:v>0.7</c:v>
                </c:pt>
                <c:pt idx="1">
                  <c:v>1</c:v>
                </c:pt>
              </c:numCache>
            </c:numRef>
          </c:yVal>
          <c:smooth val="0"/>
          <c:extLst>
            <c:ext xmlns:c16="http://schemas.microsoft.com/office/drawing/2014/chart" uri="{C3380CC4-5D6E-409C-BE32-E72D297353CC}">
              <c16:uniqueId val="{00000000-306E-43E0-A7CF-22D8DE561819}"/>
            </c:ext>
          </c:extLst>
        </c:ser>
        <c:ser>
          <c:idx val="1"/>
          <c:order val="1"/>
          <c:tx>
            <c:v>FAR/NF</c:v>
          </c:tx>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forward val="8.0000000000000016E-2"/>
            <c:dispRSqr val="0"/>
            <c:dispEq val="1"/>
            <c:trendlineLbl>
              <c:layout>
                <c:manualLayout>
                  <c:x val="-0.13616566838949143"/>
                  <c:y val="-0.27104959630911191"/>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Curves'!$AF$113:$AJ$113</c:f>
              <c:numCache>
                <c:formatCode>0.00</c:formatCode>
                <c:ptCount val="5"/>
                <c:pt idx="0">
                  <c:v>0.2</c:v>
                </c:pt>
                <c:pt idx="4">
                  <c:v>0.08</c:v>
                </c:pt>
              </c:numCache>
            </c:numRef>
          </c:xVal>
          <c:yVal>
            <c:numRef>
              <c:f>'Reference Curves'!$AF$114:$AJ$114</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1-E888-418D-B3B5-A940C65D8740}"/>
            </c:ext>
          </c:extLst>
        </c:ser>
        <c:dLbls>
          <c:showLegendKey val="0"/>
          <c:showVal val="0"/>
          <c:showCatName val="0"/>
          <c:showSerName val="0"/>
          <c:showPercent val="0"/>
          <c:showBubbleSize val="0"/>
        </c:dLbls>
        <c:axId val="386331552"/>
        <c:axId val="386337824"/>
      </c:scatterChart>
      <c:valAx>
        <c:axId val="386331552"/>
        <c:scaling>
          <c:orientation val="minMax"/>
          <c:min val="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(mg/L)</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6337824"/>
        <c:crosses val="autoZero"/>
        <c:crossBetween val="midCat"/>
      </c:valAx>
      <c:valAx>
        <c:axId val="386337824"/>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6331552"/>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Nitrogen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v>F</c:v>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0.1745482572460258"/>
                  <c:y val="-0.10758500243991033"/>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Curves'!$AJ$80:$AK$80</c:f>
              <c:numCache>
                <c:formatCode>General</c:formatCode>
                <c:ptCount val="2"/>
                <c:pt idx="0">
                  <c:v>0.8</c:v>
                </c:pt>
                <c:pt idx="1">
                  <c:v>0.4</c:v>
                </c:pt>
              </c:numCache>
            </c:numRef>
          </c:xVal>
          <c:yVal>
            <c:numRef>
              <c:f>'Reference Curves'!$AJ$81:$AK$81</c:f>
              <c:numCache>
                <c:formatCode>0.00</c:formatCode>
                <c:ptCount val="2"/>
                <c:pt idx="0">
                  <c:v>0.7</c:v>
                </c:pt>
                <c:pt idx="1">
                  <c:v>1</c:v>
                </c:pt>
              </c:numCache>
            </c:numRef>
          </c:yVal>
          <c:smooth val="0"/>
          <c:extLst>
            <c:ext xmlns:c16="http://schemas.microsoft.com/office/drawing/2014/chart" uri="{C3380CC4-5D6E-409C-BE32-E72D297353CC}">
              <c16:uniqueId val="{00000000-5444-4189-9526-06CAD9585BFE}"/>
            </c:ext>
          </c:extLst>
        </c:ser>
        <c:ser>
          <c:idx val="1"/>
          <c:order val="1"/>
          <c:tx>
            <c:v>NF/FAR</c:v>
          </c:tx>
          <c:spPr>
            <a:ln w="25400" cap="rnd">
              <a:solidFill>
                <a:srgbClr val="FF0000"/>
              </a:solid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forward val="1"/>
            <c:dispRSqr val="0"/>
            <c:dispEq val="1"/>
            <c:trendlineLbl>
              <c:layout>
                <c:manualLayout>
                  <c:x val="-7.8950263352904976E-2"/>
                  <c:y val="-0.26669626357391218"/>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Curves'!$AF$80:$AJ$80</c:f>
              <c:numCache>
                <c:formatCode>General</c:formatCode>
                <c:ptCount val="5"/>
                <c:pt idx="0">
                  <c:v>2.2999999999999998</c:v>
                </c:pt>
                <c:pt idx="4">
                  <c:v>0.8</c:v>
                </c:pt>
              </c:numCache>
            </c:numRef>
          </c:xVal>
          <c:yVal>
            <c:numRef>
              <c:f>'Reference Curves'!$AF$81:$AJ$81</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1-BFAC-4A35-A75C-A79E70ED413A}"/>
            </c:ext>
          </c:extLst>
        </c:ser>
        <c:dLbls>
          <c:showLegendKey val="0"/>
          <c:showVal val="0"/>
          <c:showCatName val="0"/>
          <c:showSerName val="0"/>
          <c:showPercent val="0"/>
          <c:showBubbleSize val="0"/>
        </c:dLbls>
        <c:axId val="386331944"/>
        <c:axId val="387079080"/>
      </c:scatterChart>
      <c:valAx>
        <c:axId val="386331944"/>
        <c:scaling>
          <c:orientation val="minMax"/>
          <c:max val="4.5"/>
          <c:min val="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(mg/L)</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079080"/>
        <c:crosses val="autoZero"/>
        <c:crossBetween val="midCat"/>
      </c:valAx>
      <c:valAx>
        <c:axId val="387079080"/>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6331944"/>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Percent Shredders - Mountains &amp; DA ≤</a:t>
            </a:r>
            <a:r>
              <a:rPr lang="en-US" baseline="0"/>
              <a:t> </a:t>
            </a:r>
            <a:r>
              <a:rPr lang="en-US"/>
              <a:t>5 Sq. Mi.</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8.6765952302443584E-4"/>
                  <c:y val="0.29281107981783605"/>
                </c:manualLayout>
              </c:layout>
              <c:numFmt formatCode="#,##0.00000"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0-1349-462F-AF75-ED5FB8B6F41C}"/>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0.15562851092144495"/>
                  <c:y val="2.223276698979933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1-B07A-4045-959E-321507219357}"/>
            </c:ext>
          </c:extLst>
        </c:ser>
        <c:ser>
          <c:idx val="2"/>
          <c:order val="2"/>
          <c:spPr>
            <a:ln w="25400" cap="rnd">
              <a:noFill/>
              <a:round/>
            </a:ln>
            <a:effectLst/>
          </c:spPr>
          <c:marker>
            <c:symbol val="circle"/>
            <c:size val="5"/>
            <c:spPr>
              <a:solidFill>
                <a:schemeClr val="accent3"/>
              </a:solidFill>
              <a:ln w="9525">
                <a:solidFill>
                  <a:schemeClr val="accent3"/>
                </a:solidFill>
              </a:ln>
              <a:effectLst/>
            </c:spPr>
          </c:marker>
          <c:trendline>
            <c:spPr>
              <a:ln w="19050" cap="rnd">
                <a:solidFill>
                  <a:schemeClr val="accent3"/>
                </a:solidFill>
                <a:prstDash val="sysDot"/>
              </a:ln>
              <a:effectLst/>
            </c:spPr>
            <c:trendlineType val="linear"/>
            <c:dispRSqr val="0"/>
            <c:dispEq val="1"/>
            <c:trendlineLbl>
              <c:layout>
                <c:manualLayout>
                  <c:x val="-0.15642198163025781"/>
                  <c:y val="0.1931024260773697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2-B07A-4045-959E-321507219357}"/>
            </c:ext>
          </c:extLst>
        </c:ser>
        <c:dLbls>
          <c:showLegendKey val="0"/>
          <c:showVal val="0"/>
          <c:showCatName val="0"/>
          <c:showSerName val="0"/>
          <c:showPercent val="0"/>
          <c:showBubbleSize val="0"/>
        </c:dLbls>
        <c:axId val="387080648"/>
        <c:axId val="387080256"/>
      </c:scatterChart>
      <c:valAx>
        <c:axId val="387080648"/>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a:t>
                </a:r>
              </a:p>
            </c:rich>
          </c:tx>
          <c:layout>
            <c:manualLayout>
              <c:xMode val="edge"/>
              <c:yMode val="edge"/>
              <c:x val="0.39253730904856216"/>
              <c:y val="0.92867222189200571"/>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080256"/>
        <c:crosses val="autoZero"/>
        <c:crossBetween val="midCat"/>
      </c:valAx>
      <c:valAx>
        <c:axId val="387080256"/>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080648"/>
        <c:crosses val="autoZero"/>
        <c:crossBetween val="midCat"/>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Percent Shredders - Mountains &amp; 5 &lt; DA &lt; 10</a:t>
            </a:r>
            <a:r>
              <a:rPr lang="en-US" baseline="0"/>
              <a:t> </a:t>
            </a:r>
            <a:r>
              <a:rPr lang="en-US"/>
              <a:t>Sq. Mi.</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0.1108366644219025"/>
                  <c:y val="0.41706391074067078"/>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0-D468-47AD-93B0-A3B33F0454A6}"/>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0.17447566935525069"/>
                  <c:y val="3.4519587848722402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0-DB84-4A5E-B26A-4447C020B45B}"/>
            </c:ext>
          </c:extLst>
        </c:ser>
        <c:ser>
          <c:idx val="2"/>
          <c:order val="2"/>
          <c:spPr>
            <a:ln w="25400" cap="rnd">
              <a:noFill/>
              <a:round/>
            </a:ln>
            <a:effectLst/>
          </c:spPr>
          <c:marker>
            <c:symbol val="circle"/>
            <c:size val="5"/>
            <c:spPr>
              <a:solidFill>
                <a:schemeClr val="accent3"/>
              </a:solidFill>
              <a:ln w="9525">
                <a:solidFill>
                  <a:schemeClr val="accent3"/>
                </a:solidFill>
              </a:ln>
              <a:effectLst/>
            </c:spPr>
          </c:marker>
          <c:trendline>
            <c:spPr>
              <a:ln w="19050" cap="rnd">
                <a:solidFill>
                  <a:schemeClr val="accent3"/>
                </a:solidFill>
                <a:prstDash val="sysDot"/>
              </a:ln>
              <a:effectLst/>
            </c:spPr>
            <c:trendlineType val="linear"/>
            <c:dispRSqr val="0"/>
            <c:dispEq val="1"/>
            <c:trendlineLbl>
              <c:layout>
                <c:manualLayout>
                  <c:x val="-0.10201525916166997"/>
                  <c:y val="0.13387420649963208"/>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1-DB84-4A5E-B26A-4447C020B45B}"/>
            </c:ext>
          </c:extLst>
        </c:ser>
        <c:dLbls>
          <c:showLegendKey val="0"/>
          <c:showVal val="0"/>
          <c:showCatName val="0"/>
          <c:showSerName val="0"/>
          <c:showPercent val="0"/>
          <c:showBubbleSize val="0"/>
        </c:dLbls>
        <c:axId val="387081432"/>
        <c:axId val="387077120"/>
      </c:scatterChart>
      <c:valAx>
        <c:axId val="387081432"/>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077120"/>
        <c:crosses val="autoZero"/>
        <c:crossBetween val="midCat"/>
      </c:valAx>
      <c:valAx>
        <c:axId val="387077120"/>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081432"/>
        <c:crosses val="autoZero"/>
        <c:crossBetween val="midCat"/>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E. Coli</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v>NF/FAR</c:v>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forward val="200"/>
            <c:dispRSqr val="0"/>
            <c:dispEq val="1"/>
            <c:trendlineLbl>
              <c:layout>
                <c:manualLayout>
                  <c:x val="-5.1030023276834514E-2"/>
                  <c:y val="-0.27580270018277231"/>
                </c:manualLayout>
              </c:layout>
              <c:numFmt formatCode="#,##0.0000"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Curves'!$AF$44:$AJ$44</c:f>
              <c:numCache>
                <c:formatCode>General</c:formatCode>
                <c:ptCount val="5"/>
                <c:pt idx="2">
                  <c:v>349</c:v>
                </c:pt>
                <c:pt idx="4" formatCode="0">
                  <c:v>121</c:v>
                </c:pt>
              </c:numCache>
            </c:numRef>
          </c:xVal>
          <c:yVal>
            <c:numRef>
              <c:f>'Reference Curves'!$AF$45:$AJ$45</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0-6B9A-49E1-B4FD-F489DFFCE937}"/>
            </c:ext>
          </c:extLst>
        </c:ser>
        <c:ser>
          <c:idx val="1"/>
          <c:order val="1"/>
          <c:tx>
            <c:v>F</c:v>
          </c:tx>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0.23230429592331964"/>
                  <c:y val="-0.1024503014227964"/>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Curves'!$AJ$44:$AK$44</c:f>
              <c:numCache>
                <c:formatCode>General</c:formatCode>
                <c:ptCount val="2"/>
                <c:pt idx="0" formatCode="0">
                  <c:v>121</c:v>
                </c:pt>
                <c:pt idx="1">
                  <c:v>35</c:v>
                </c:pt>
              </c:numCache>
            </c:numRef>
          </c:xVal>
          <c:yVal>
            <c:numRef>
              <c:f>'Reference Curves'!$AJ$45:$AK$45</c:f>
              <c:numCache>
                <c:formatCode>0.00</c:formatCode>
                <c:ptCount val="2"/>
                <c:pt idx="0">
                  <c:v>0.7</c:v>
                </c:pt>
                <c:pt idx="1">
                  <c:v>1</c:v>
                </c:pt>
              </c:numCache>
            </c:numRef>
          </c:yVal>
          <c:smooth val="0"/>
          <c:extLst>
            <c:ext xmlns:c16="http://schemas.microsoft.com/office/drawing/2014/chart" uri="{C3380CC4-5D6E-409C-BE32-E72D297353CC}">
              <c16:uniqueId val="{00000001-9D14-4885-BA78-85C5834B5BBA}"/>
            </c:ext>
          </c:extLst>
        </c:ser>
        <c:dLbls>
          <c:showLegendKey val="0"/>
          <c:showVal val="0"/>
          <c:showCatName val="0"/>
          <c:showSerName val="0"/>
          <c:showPercent val="0"/>
          <c:showBubbleSize val="0"/>
        </c:dLbls>
        <c:axId val="387077512"/>
        <c:axId val="387081824"/>
      </c:scatterChart>
      <c:valAx>
        <c:axId val="387077512"/>
        <c:scaling>
          <c:orientation val="minMax"/>
          <c:min val="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(MPN/100ml)</a:t>
                </a:r>
              </a:p>
            </c:rich>
          </c:tx>
          <c:layout>
            <c:manualLayout>
              <c:xMode val="edge"/>
              <c:yMode val="edge"/>
              <c:x val="0.424094035798733"/>
              <c:y val="0.9406287739008008"/>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081824"/>
        <c:crosses val="autoZero"/>
        <c:crossBetween val="midCat"/>
      </c:valAx>
      <c:valAx>
        <c:axId val="387081824"/>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077512"/>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Percent Streambank Erosion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0.20677933165737017"/>
                  <c:y val="-0.12476432814619097"/>
                </c:manualLayout>
              </c:layout>
              <c:numFmt formatCode="#,##0.0000"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Curves'!$Y$113:$Z$113</c:f>
              <c:numCache>
                <c:formatCode>General</c:formatCode>
                <c:ptCount val="2"/>
                <c:pt idx="0">
                  <c:v>11</c:v>
                </c:pt>
                <c:pt idx="1">
                  <c:v>5</c:v>
                </c:pt>
              </c:numCache>
            </c:numRef>
          </c:xVal>
          <c:yVal>
            <c:numRef>
              <c:f>'Reference Curves'!$Y$114:$Z$114</c:f>
              <c:numCache>
                <c:formatCode>0.00</c:formatCode>
                <c:ptCount val="2"/>
                <c:pt idx="0">
                  <c:v>0.7</c:v>
                </c:pt>
                <c:pt idx="1">
                  <c:v>1</c:v>
                </c:pt>
              </c:numCache>
            </c:numRef>
          </c:yVal>
          <c:smooth val="0"/>
          <c:extLst>
            <c:ext xmlns:c16="http://schemas.microsoft.com/office/drawing/2014/chart" uri="{C3380CC4-5D6E-409C-BE32-E72D297353CC}">
              <c16:uniqueId val="{00000000-5148-4788-A083-43E68337C776}"/>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4.583429648191216E-2"/>
                  <c:y val="-0.30905053625613915"/>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Curves'!$U$113:$Y$113</c:f>
              <c:numCache>
                <c:formatCode>General</c:formatCode>
                <c:ptCount val="5"/>
                <c:pt idx="0">
                  <c:v>50</c:v>
                </c:pt>
                <c:pt idx="4">
                  <c:v>11</c:v>
                </c:pt>
              </c:numCache>
            </c:numRef>
          </c:xVal>
          <c:yVal>
            <c:numRef>
              <c:f>'Reference Curves'!$U$114:$Y$114</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3-74DD-43D0-AEB0-5C787F48E5D6}"/>
            </c:ext>
          </c:extLst>
        </c:ser>
        <c:dLbls>
          <c:showLegendKey val="0"/>
          <c:showVal val="0"/>
          <c:showCatName val="0"/>
          <c:showSerName val="0"/>
          <c:showPercent val="0"/>
          <c:showBubbleSize val="0"/>
        </c:dLbls>
        <c:axId val="387079864"/>
        <c:axId val="387078688"/>
      </c:scatterChart>
      <c:valAx>
        <c:axId val="387079864"/>
        <c:scaling>
          <c:orientation val="minMax"/>
          <c:min val="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078688"/>
        <c:crosses val="autoZero"/>
        <c:crossBetween val="midCat"/>
      </c:valAx>
      <c:valAx>
        <c:axId val="387078688"/>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a:t>
                </a:r>
                <a:r>
                  <a:rPr lang="en-US" sz="1100" baseline="0"/>
                  <a:t> Value</a:t>
                </a:r>
                <a:endParaRPr lang="en-US" sz="1100"/>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079864"/>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Buffer Width - </a:t>
            </a:r>
            <a:r>
              <a:rPr lang="en-US" sz="1400" b="0" i="0" u="none" strike="noStrike" baseline="0">
                <a:effectLst/>
              </a:rPr>
              <a:t>Single Family Residential</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2989088506394636"/>
          <c:y val="0.1013168325903164"/>
          <c:w val="0.59675278184775749"/>
          <c:h val="0.76116406718731278"/>
        </c:manualLayout>
      </c:layout>
      <c:scatterChart>
        <c:scatterStyle val="lineMarker"/>
        <c:varyColors val="0"/>
        <c:ser>
          <c:idx val="0"/>
          <c:order val="0"/>
          <c:tx>
            <c:strRef>
              <c:f>'Reference Curves'!$T$179</c:f>
              <c:strCache>
                <c:ptCount val="1"/>
                <c:pt idx="0">
                  <c:v>Buffer slope &lt; 5% </c:v>
                </c:pt>
              </c:strCache>
            </c:strRef>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og"/>
            <c:dispRSqr val="1"/>
            <c:dispEq val="1"/>
            <c:trendlineLbl>
              <c:layout>
                <c:manualLayout>
                  <c:x val="-0.54505420421658257"/>
                  <c:y val="8.5648724457825023E-2"/>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trendline>
            <c:spPr>
              <a:ln w="19050" cap="rnd">
                <a:solidFill>
                  <a:schemeClr val="accent1"/>
                </a:solidFill>
                <a:prstDash val="sysDot"/>
              </a:ln>
              <a:effectLst/>
            </c:spPr>
            <c:trendlineType val="log"/>
            <c:dispRSqr val="0"/>
            <c:dispEq val="1"/>
            <c:trendlineLbl>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trendline>
            <c:spPr>
              <a:ln w="19050" cap="rnd">
                <a:solidFill>
                  <a:schemeClr val="accent1"/>
                </a:solidFill>
                <a:prstDash val="sysDot"/>
              </a:ln>
              <a:effectLst/>
            </c:spPr>
            <c:trendlineType val="log"/>
            <c:dispRSqr val="0"/>
            <c:dispEq val="1"/>
            <c:trendlineLbl>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trendline>
            <c:spPr>
              <a:ln w="19050" cap="rnd">
                <a:solidFill>
                  <a:schemeClr val="accent1">
                    <a:lumMod val="75000"/>
                  </a:schemeClr>
                </a:solidFill>
                <a:prstDash val="sysDot"/>
              </a:ln>
              <a:effectLst/>
            </c:spPr>
            <c:trendlineType val="linear"/>
            <c:dispRSqr val="0"/>
            <c:dispEq val="1"/>
            <c:trendlineLbl>
              <c:layout>
                <c:manualLayout>
                  <c:x val="0.12481132723509154"/>
                  <c:y val="0.47074838314528855"/>
                </c:manualLayout>
              </c:layout>
              <c:numFmt formatCode="#,##0.0000" sourceLinked="0"/>
              <c:spPr>
                <a:noFill/>
                <a:ln>
                  <a:noFill/>
                </a:ln>
                <a:effectLst/>
              </c:spPr>
              <c:txPr>
                <a:bodyPr rot="0" spcFirstLastPara="1" vertOverflow="ellipsis" vert="horz" wrap="square" anchor="ctr" anchorCtr="1"/>
                <a:lstStyle/>
                <a:p>
                  <a:pPr>
                    <a:defRPr sz="1100" b="0" i="0" u="none" strike="noStrike" kern="1200" baseline="0">
                      <a:solidFill>
                        <a:schemeClr val="accent1">
                          <a:lumMod val="75000"/>
                        </a:schemeClr>
                      </a:solidFill>
                      <a:latin typeface="+mn-lt"/>
                      <a:ea typeface="+mn-ea"/>
                      <a:cs typeface="+mn-cs"/>
                    </a:defRPr>
                  </a:pPr>
                  <a:endParaRPr lang="en-US"/>
                </a:p>
              </c:txPr>
            </c:trendlineLbl>
          </c:trendline>
          <c:xVal>
            <c:numRef>
              <c:f>'Reference Curves'!$U$179:$Y$179</c:f>
              <c:numCache>
                <c:formatCode>General</c:formatCode>
                <c:ptCount val="5"/>
                <c:pt idx="0">
                  <c:v>0</c:v>
                </c:pt>
                <c:pt idx="4">
                  <c:v>50</c:v>
                </c:pt>
              </c:numCache>
            </c:numRef>
          </c:xVal>
          <c:yVal>
            <c:numRef>
              <c:f>'Reference Curves'!$U$183:$Y$183</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0-9FCE-4EE9-84B8-517F80A767B6}"/>
            </c:ext>
          </c:extLst>
        </c:ser>
        <c:ser>
          <c:idx val="1"/>
          <c:order val="1"/>
          <c:tx>
            <c:strRef>
              <c:f>'Reference Curves'!$T$179</c:f>
              <c:strCache>
                <c:ptCount val="1"/>
                <c:pt idx="0">
                  <c:v>Buffer slope &lt; 5% </c:v>
                </c:pt>
              </c:strCache>
            </c:strRef>
          </c:tx>
          <c:spPr>
            <a:ln w="25400" cap="rnd">
              <a:noFill/>
              <a:round/>
            </a:ln>
            <a:effectLst/>
          </c:spPr>
          <c:marker>
            <c:symbol val="circle"/>
            <c:size val="5"/>
            <c:spPr>
              <a:solidFill>
                <a:schemeClr val="accent1">
                  <a:lumMod val="75000"/>
                </a:schemeClr>
              </a:solidFill>
              <a:ln w="9525">
                <a:noFill/>
              </a:ln>
              <a:effectLst/>
            </c:spPr>
          </c:marker>
          <c:trendline>
            <c:spPr>
              <a:ln w="19050" cap="rnd">
                <a:solidFill>
                  <a:srgbClr val="00B0F0"/>
                </a:solidFill>
                <a:prstDash val="sysDot"/>
              </a:ln>
              <a:effectLst/>
            </c:spPr>
            <c:trendlineType val="linear"/>
            <c:dispRSqr val="0"/>
            <c:dispEq val="1"/>
            <c:trendlineLbl>
              <c:layout>
                <c:manualLayout>
                  <c:x val="-0.14171266786157646"/>
                  <c:y val="-2.5986078464315974E-4"/>
                </c:manualLayout>
              </c:layout>
              <c:numFmt formatCode="#,##0.0000" sourceLinked="0"/>
              <c:spPr>
                <a:noFill/>
                <a:ln>
                  <a:noFill/>
                </a:ln>
                <a:effectLst/>
              </c:spPr>
              <c:txPr>
                <a:bodyPr rot="0" spcFirstLastPara="1" vertOverflow="ellipsis" vert="horz" wrap="square" anchor="ctr" anchorCtr="1"/>
                <a:lstStyle/>
                <a:p>
                  <a:pPr>
                    <a:defRPr sz="1100" b="0" i="0" u="none" strike="noStrike" kern="1200" baseline="0">
                      <a:solidFill>
                        <a:srgbClr val="00B0F0"/>
                      </a:solidFill>
                      <a:latin typeface="+mn-lt"/>
                      <a:ea typeface="+mn-ea"/>
                      <a:cs typeface="+mn-cs"/>
                    </a:defRPr>
                  </a:pPr>
                  <a:endParaRPr lang="en-US"/>
                </a:p>
              </c:txPr>
            </c:trendlineLbl>
          </c:trendline>
          <c:xVal>
            <c:numRef>
              <c:f>'Reference Curves'!$Y$179:$Z$179</c:f>
              <c:numCache>
                <c:formatCode>General</c:formatCode>
                <c:ptCount val="2"/>
                <c:pt idx="0">
                  <c:v>50</c:v>
                </c:pt>
                <c:pt idx="1">
                  <c:v>300</c:v>
                </c:pt>
              </c:numCache>
              <c:extLst xmlns:c15="http://schemas.microsoft.com/office/drawing/2012/chart"/>
            </c:numRef>
          </c:xVal>
          <c:yVal>
            <c:numRef>
              <c:f>'Reference Curves'!$Y$183:$Z$183</c:f>
              <c:numCache>
                <c:formatCode>0.00</c:formatCode>
                <c:ptCount val="2"/>
                <c:pt idx="0">
                  <c:v>0.7</c:v>
                </c:pt>
                <c:pt idx="1">
                  <c:v>1</c:v>
                </c:pt>
              </c:numCache>
              <c:extLst xmlns:c15="http://schemas.microsoft.com/office/drawing/2012/chart"/>
            </c:numRef>
          </c:yVal>
          <c:smooth val="0"/>
          <c:extLst xmlns:c15="http://schemas.microsoft.com/office/drawing/2012/chart">
            <c:ext xmlns:c16="http://schemas.microsoft.com/office/drawing/2014/chart" uri="{C3380CC4-5D6E-409C-BE32-E72D297353CC}">
              <c16:uniqueId val="{00000000-C677-4069-807C-C6D888A33D9F}"/>
            </c:ext>
          </c:extLst>
        </c:ser>
        <c:ser>
          <c:idx val="2"/>
          <c:order val="2"/>
          <c:tx>
            <c:strRef>
              <c:f>'Reference Curves'!$T$180</c:f>
              <c:strCache>
                <c:ptCount val="1"/>
                <c:pt idx="0">
                  <c:v>Buffer slope 5-20%</c:v>
                </c:pt>
              </c:strCache>
            </c:strRef>
          </c:tx>
          <c:spPr>
            <a:ln w="25400" cap="rnd">
              <a:noFill/>
              <a:round/>
            </a:ln>
            <a:effectLst/>
          </c:spPr>
          <c:marker>
            <c:symbol val="circle"/>
            <c:size val="5"/>
            <c:spPr>
              <a:solidFill>
                <a:schemeClr val="accent3"/>
              </a:solidFill>
              <a:ln w="9525">
                <a:solidFill>
                  <a:schemeClr val="accent3"/>
                </a:solidFill>
              </a:ln>
              <a:effectLst/>
            </c:spPr>
          </c:marker>
          <c:trendline>
            <c:spPr>
              <a:ln w="19050" cap="rnd">
                <a:solidFill>
                  <a:schemeClr val="bg2">
                    <a:lumMod val="75000"/>
                  </a:schemeClr>
                </a:solidFill>
                <a:prstDash val="sysDot"/>
              </a:ln>
              <a:effectLst/>
            </c:spPr>
            <c:trendlineType val="linear"/>
            <c:dispRSqr val="0"/>
            <c:dispEq val="1"/>
            <c:trendlineLbl>
              <c:layout>
                <c:manualLayout>
                  <c:x val="7.0634041049471713E-2"/>
                  <c:y val="0.3956774898039313"/>
                </c:manualLayout>
              </c:layout>
              <c:numFmt formatCode="#,##0.0000" sourceLinked="0"/>
              <c:spPr>
                <a:noFill/>
                <a:ln>
                  <a:noFill/>
                </a:ln>
                <a:effectLst/>
              </c:spPr>
              <c:txPr>
                <a:bodyPr rot="0" spcFirstLastPara="1" vertOverflow="ellipsis" vert="horz" wrap="square" anchor="ctr" anchorCtr="1"/>
                <a:lstStyle/>
                <a:p>
                  <a:pPr>
                    <a:defRPr sz="1100" b="0" i="0" u="none" strike="noStrike" kern="1200" baseline="0">
                      <a:solidFill>
                        <a:schemeClr val="bg2">
                          <a:lumMod val="75000"/>
                        </a:schemeClr>
                      </a:solidFill>
                      <a:latin typeface="+mn-lt"/>
                      <a:ea typeface="+mn-ea"/>
                      <a:cs typeface="+mn-cs"/>
                    </a:defRPr>
                  </a:pPr>
                  <a:endParaRPr lang="en-US"/>
                </a:p>
              </c:txPr>
            </c:trendlineLbl>
          </c:trendline>
          <c:xVal>
            <c:numRef>
              <c:f>'Reference Curves'!$U$180:$Y$180</c:f>
              <c:numCache>
                <c:formatCode>General</c:formatCode>
                <c:ptCount val="5"/>
                <c:pt idx="0">
                  <c:v>0</c:v>
                </c:pt>
                <c:pt idx="4">
                  <c:v>100</c:v>
                </c:pt>
              </c:numCache>
            </c:numRef>
          </c:xVal>
          <c:yVal>
            <c:numRef>
              <c:f>'Reference Curves'!$U$183:$Y$183</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6-3B79-4117-8116-2F8D24C0A67B}"/>
            </c:ext>
          </c:extLst>
        </c:ser>
        <c:ser>
          <c:idx val="3"/>
          <c:order val="3"/>
          <c:tx>
            <c:strRef>
              <c:f>'Reference Curves'!$T$180</c:f>
              <c:strCache>
                <c:ptCount val="1"/>
                <c:pt idx="0">
                  <c:v>Buffer slope 5-20%</c:v>
                </c:pt>
              </c:strCache>
            </c:strRef>
          </c:tx>
          <c:spPr>
            <a:ln w="25400" cap="rnd">
              <a:noFill/>
              <a:round/>
            </a:ln>
            <a:effectLst/>
          </c:spPr>
          <c:marker>
            <c:symbol val="circle"/>
            <c:size val="5"/>
            <c:spPr>
              <a:solidFill>
                <a:schemeClr val="bg2">
                  <a:lumMod val="25000"/>
                </a:schemeClr>
              </a:solidFill>
              <a:ln w="9525">
                <a:noFill/>
              </a:ln>
              <a:effectLst/>
            </c:spPr>
          </c:marker>
          <c:trendline>
            <c:spPr>
              <a:ln w="19050" cap="rnd">
                <a:solidFill>
                  <a:schemeClr val="bg2">
                    <a:lumMod val="25000"/>
                  </a:schemeClr>
                </a:solidFill>
                <a:prstDash val="sysDot"/>
              </a:ln>
              <a:effectLst/>
            </c:spPr>
            <c:trendlineType val="linear"/>
            <c:dispRSqr val="0"/>
            <c:dispEq val="1"/>
            <c:trendlineLbl>
              <c:layout>
                <c:manualLayout>
                  <c:x val="-0.23524705385804556"/>
                  <c:y val="7.1923690505123442E-2"/>
                </c:manualLayout>
              </c:layout>
              <c:numFmt formatCode="#,##0.0000" sourceLinked="0"/>
              <c:spPr>
                <a:noFill/>
                <a:ln>
                  <a:noFill/>
                </a:ln>
                <a:effectLst/>
              </c:spPr>
              <c:txPr>
                <a:bodyPr rot="0" spcFirstLastPara="1" vertOverflow="ellipsis" vert="horz" wrap="square" anchor="ctr" anchorCtr="1"/>
                <a:lstStyle/>
                <a:p>
                  <a:pPr>
                    <a:defRPr sz="1100" b="0" i="0" u="none" strike="noStrike" kern="1200" baseline="0">
                      <a:solidFill>
                        <a:schemeClr val="tx1"/>
                      </a:solidFill>
                      <a:latin typeface="+mn-lt"/>
                      <a:ea typeface="+mn-ea"/>
                      <a:cs typeface="+mn-cs"/>
                    </a:defRPr>
                  </a:pPr>
                  <a:endParaRPr lang="en-US"/>
                </a:p>
              </c:txPr>
            </c:trendlineLbl>
          </c:trendline>
          <c:xVal>
            <c:numRef>
              <c:f>'Reference Curves'!$Y$180:$Z$180</c:f>
              <c:numCache>
                <c:formatCode>General</c:formatCode>
                <c:ptCount val="2"/>
                <c:pt idx="0">
                  <c:v>100</c:v>
                </c:pt>
                <c:pt idx="1">
                  <c:v>300</c:v>
                </c:pt>
              </c:numCache>
            </c:numRef>
          </c:xVal>
          <c:yVal>
            <c:numRef>
              <c:f>'Reference Curves'!$Y$183:$Z$183</c:f>
              <c:numCache>
                <c:formatCode>0.00</c:formatCode>
                <c:ptCount val="2"/>
                <c:pt idx="0">
                  <c:v>0.7</c:v>
                </c:pt>
                <c:pt idx="1">
                  <c:v>1</c:v>
                </c:pt>
              </c:numCache>
            </c:numRef>
          </c:yVal>
          <c:smooth val="0"/>
          <c:extLst>
            <c:ext xmlns:c16="http://schemas.microsoft.com/office/drawing/2014/chart" uri="{C3380CC4-5D6E-409C-BE32-E72D297353CC}">
              <c16:uniqueId val="{00000007-3B79-4117-8116-2F8D24C0A67B}"/>
            </c:ext>
          </c:extLst>
        </c:ser>
        <c:ser>
          <c:idx val="4"/>
          <c:order val="4"/>
          <c:tx>
            <c:strRef>
              <c:f>'Reference Curves'!$T$181</c:f>
              <c:strCache>
                <c:ptCount val="1"/>
                <c:pt idx="0">
                  <c:v>Buffer slope 21-40% </c:v>
                </c:pt>
              </c:strCache>
            </c:strRef>
          </c:tx>
          <c:spPr>
            <a:ln w="25400" cap="rnd">
              <a:noFill/>
              <a:round/>
            </a:ln>
            <a:effectLst/>
          </c:spPr>
          <c:marker>
            <c:symbol val="circle"/>
            <c:size val="5"/>
            <c:spPr>
              <a:solidFill>
                <a:schemeClr val="accent6">
                  <a:lumMod val="75000"/>
                </a:schemeClr>
              </a:solidFill>
              <a:ln w="9525">
                <a:noFill/>
              </a:ln>
              <a:effectLst/>
            </c:spPr>
          </c:marker>
          <c:trendline>
            <c:spPr>
              <a:ln w="19050" cap="rnd">
                <a:solidFill>
                  <a:schemeClr val="accent6">
                    <a:lumMod val="50000"/>
                  </a:schemeClr>
                </a:solidFill>
                <a:prstDash val="sysDot"/>
              </a:ln>
              <a:effectLst/>
            </c:spPr>
            <c:trendlineType val="linear"/>
            <c:dispRSqr val="0"/>
            <c:dispEq val="1"/>
            <c:trendlineLbl>
              <c:layout>
                <c:manualLayout>
                  <c:x val="8.679648268785306E-2"/>
                  <c:y val="0.32638128056575533"/>
                </c:manualLayout>
              </c:layout>
              <c:numFmt formatCode="#,##0.0000" sourceLinked="0"/>
              <c:spPr>
                <a:noFill/>
                <a:ln>
                  <a:noFill/>
                </a:ln>
                <a:effectLst/>
              </c:spPr>
              <c:txPr>
                <a:bodyPr rot="0" spcFirstLastPara="1" vertOverflow="ellipsis" vert="horz" wrap="square" anchor="ctr" anchorCtr="1"/>
                <a:lstStyle/>
                <a:p>
                  <a:pPr>
                    <a:defRPr sz="1100" b="0" i="0" u="none" strike="noStrike" kern="1200" baseline="0">
                      <a:solidFill>
                        <a:schemeClr val="accent6">
                          <a:lumMod val="50000"/>
                        </a:schemeClr>
                      </a:solidFill>
                      <a:latin typeface="+mn-lt"/>
                      <a:ea typeface="+mn-ea"/>
                      <a:cs typeface="+mn-cs"/>
                    </a:defRPr>
                  </a:pPr>
                  <a:endParaRPr lang="en-US"/>
                </a:p>
              </c:txPr>
            </c:trendlineLbl>
          </c:trendline>
          <c:xVal>
            <c:numRef>
              <c:f>'Reference Curves'!$U$181:$Y$181</c:f>
              <c:numCache>
                <c:formatCode>General</c:formatCode>
                <c:ptCount val="5"/>
                <c:pt idx="0">
                  <c:v>0</c:v>
                </c:pt>
                <c:pt idx="4">
                  <c:v>150</c:v>
                </c:pt>
              </c:numCache>
            </c:numRef>
          </c:xVal>
          <c:yVal>
            <c:numRef>
              <c:f>'Reference Curves'!$U$183:$Y$183</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8-3B79-4117-8116-2F8D24C0A67B}"/>
            </c:ext>
          </c:extLst>
        </c:ser>
        <c:ser>
          <c:idx val="5"/>
          <c:order val="5"/>
          <c:tx>
            <c:strRef>
              <c:f>'Reference Curves'!$T$181</c:f>
              <c:strCache>
                <c:ptCount val="1"/>
                <c:pt idx="0">
                  <c:v>Buffer slope 21-40% </c:v>
                </c:pt>
              </c:strCache>
            </c:strRef>
          </c:tx>
          <c:spPr>
            <a:ln w="25400" cap="rnd">
              <a:noFill/>
              <a:round/>
            </a:ln>
            <a:effectLst/>
          </c:spPr>
          <c:marker>
            <c:symbol val="circle"/>
            <c:size val="5"/>
            <c:spPr>
              <a:solidFill>
                <a:srgbClr val="00B050"/>
              </a:solidFill>
              <a:ln w="9525">
                <a:noFill/>
              </a:ln>
              <a:effectLst/>
            </c:spPr>
          </c:marker>
          <c:trendline>
            <c:spPr>
              <a:ln w="19050" cap="rnd">
                <a:solidFill>
                  <a:schemeClr val="accent6"/>
                </a:solidFill>
                <a:prstDash val="sysDot"/>
              </a:ln>
              <a:effectLst/>
            </c:spPr>
            <c:trendlineType val="linear"/>
            <c:dispRSqr val="0"/>
            <c:dispEq val="0"/>
          </c:trendline>
          <c:trendline>
            <c:spPr>
              <a:ln w="19050" cap="rnd">
                <a:solidFill>
                  <a:srgbClr val="00B050"/>
                </a:solidFill>
                <a:prstDash val="sysDot"/>
              </a:ln>
              <a:effectLst/>
            </c:spPr>
            <c:trendlineType val="linear"/>
            <c:dispRSqr val="0"/>
            <c:dispEq val="1"/>
            <c:trendlineLbl>
              <c:layout>
                <c:manualLayout>
                  <c:x val="3.5359719379257006E-2"/>
                  <c:y val="0.20762876692988466"/>
                </c:manualLayout>
              </c:layout>
              <c:numFmt formatCode="#,##0.0000" sourceLinked="0"/>
              <c:spPr>
                <a:noFill/>
                <a:ln>
                  <a:noFill/>
                </a:ln>
                <a:effectLst/>
              </c:spPr>
              <c:txPr>
                <a:bodyPr rot="0" spcFirstLastPara="1" vertOverflow="ellipsis" vert="horz" wrap="square" anchor="ctr" anchorCtr="1"/>
                <a:lstStyle/>
                <a:p>
                  <a:pPr>
                    <a:defRPr sz="1100" b="0" i="0" u="none" strike="noStrike" kern="1200" baseline="0">
                      <a:solidFill>
                        <a:srgbClr val="00B050"/>
                      </a:solidFill>
                      <a:latin typeface="+mn-lt"/>
                      <a:ea typeface="+mn-ea"/>
                      <a:cs typeface="+mn-cs"/>
                    </a:defRPr>
                  </a:pPr>
                  <a:endParaRPr lang="en-US"/>
                </a:p>
              </c:txPr>
            </c:trendlineLbl>
          </c:trendline>
          <c:xVal>
            <c:numRef>
              <c:f>'Reference Curves'!$Y$181:$Z$181</c:f>
              <c:numCache>
                <c:formatCode>General</c:formatCode>
                <c:ptCount val="2"/>
                <c:pt idx="0">
                  <c:v>150</c:v>
                </c:pt>
                <c:pt idx="1">
                  <c:v>300</c:v>
                </c:pt>
              </c:numCache>
            </c:numRef>
          </c:xVal>
          <c:yVal>
            <c:numRef>
              <c:f>'Reference Curves'!$Y$183:$Z$183</c:f>
              <c:numCache>
                <c:formatCode>0.00</c:formatCode>
                <c:ptCount val="2"/>
                <c:pt idx="0">
                  <c:v>0.7</c:v>
                </c:pt>
                <c:pt idx="1">
                  <c:v>1</c:v>
                </c:pt>
              </c:numCache>
            </c:numRef>
          </c:yVal>
          <c:smooth val="0"/>
          <c:extLst>
            <c:ext xmlns:c16="http://schemas.microsoft.com/office/drawing/2014/chart" uri="{C3380CC4-5D6E-409C-BE32-E72D297353CC}">
              <c16:uniqueId val="{0000000F-3B79-4117-8116-2F8D24C0A67B}"/>
            </c:ext>
          </c:extLst>
        </c:ser>
        <c:ser>
          <c:idx val="6"/>
          <c:order val="6"/>
          <c:tx>
            <c:strRef>
              <c:f>'Reference Curves'!$T$182</c:f>
              <c:strCache>
                <c:ptCount val="1"/>
                <c:pt idx="0">
                  <c:v>Buffer slope &gt;40% </c:v>
                </c:pt>
              </c:strCache>
            </c:strRef>
          </c:tx>
          <c:spPr>
            <a:ln w="25400" cap="rnd">
              <a:noFill/>
              <a:round/>
            </a:ln>
            <a:effectLst/>
          </c:spPr>
          <c:marker>
            <c:symbol val="circle"/>
            <c:size val="5"/>
            <c:spPr>
              <a:solidFill>
                <a:srgbClr val="FF0000"/>
              </a:solidFill>
              <a:ln w="9525">
                <a:noFill/>
              </a:ln>
              <a:effectLst/>
            </c:spPr>
          </c:marker>
          <c:trendline>
            <c:spPr>
              <a:ln w="19050" cap="rnd">
                <a:solidFill>
                  <a:srgbClr val="FF0000"/>
                </a:solidFill>
                <a:prstDash val="sysDot"/>
              </a:ln>
              <a:effectLst/>
            </c:spPr>
            <c:trendlineType val="linear"/>
            <c:dispRSqr val="0"/>
            <c:dispEq val="1"/>
            <c:trendlineLbl>
              <c:layout>
                <c:manualLayout>
                  <c:x val="8.0600882215358174E-2"/>
                  <c:y val="0.13292936310918085"/>
                </c:manualLayout>
              </c:layout>
              <c:numFmt formatCode="#,##0.0000" sourceLinked="0"/>
              <c:spPr>
                <a:noFill/>
                <a:ln>
                  <a:noFill/>
                </a:ln>
                <a:effectLst/>
              </c:spPr>
              <c:txPr>
                <a:bodyPr rot="0" spcFirstLastPara="1" vertOverflow="ellipsis" vert="horz" wrap="square" anchor="ctr" anchorCtr="1"/>
                <a:lstStyle/>
                <a:p>
                  <a:pPr>
                    <a:defRPr sz="1100" b="0" i="0" u="none" strike="noStrike" kern="1200" baseline="0">
                      <a:solidFill>
                        <a:srgbClr val="FF0000"/>
                      </a:solidFill>
                      <a:latin typeface="+mn-lt"/>
                      <a:ea typeface="+mn-ea"/>
                      <a:cs typeface="+mn-cs"/>
                    </a:defRPr>
                  </a:pPr>
                  <a:endParaRPr lang="en-US"/>
                </a:p>
              </c:txPr>
            </c:trendlineLbl>
          </c:trendline>
          <c:xVal>
            <c:numRef>
              <c:f>'Reference Curves'!$U$182:$Y$182</c:f>
              <c:numCache>
                <c:formatCode>General</c:formatCode>
                <c:ptCount val="5"/>
                <c:pt idx="0">
                  <c:v>0</c:v>
                </c:pt>
                <c:pt idx="4">
                  <c:v>200</c:v>
                </c:pt>
              </c:numCache>
            </c:numRef>
          </c:xVal>
          <c:yVal>
            <c:numRef>
              <c:f>'Reference Curves'!$U$183:$Y$183</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10-3B79-4117-8116-2F8D24C0A67B}"/>
            </c:ext>
          </c:extLst>
        </c:ser>
        <c:ser>
          <c:idx val="7"/>
          <c:order val="7"/>
          <c:tx>
            <c:strRef>
              <c:f>'Reference Curves'!$T$182</c:f>
              <c:strCache>
                <c:ptCount val="1"/>
                <c:pt idx="0">
                  <c:v>Buffer slope &gt;40% </c:v>
                </c:pt>
              </c:strCache>
            </c:strRef>
          </c:tx>
          <c:spPr>
            <a:ln w="25400" cap="rnd">
              <a:noFill/>
              <a:round/>
            </a:ln>
            <a:effectLst/>
          </c:spPr>
          <c:marker>
            <c:symbol val="circle"/>
            <c:size val="5"/>
            <c:spPr>
              <a:solidFill>
                <a:srgbClr val="C00000"/>
              </a:solidFill>
              <a:ln w="9525">
                <a:noFill/>
              </a:ln>
              <a:effectLst/>
            </c:spPr>
          </c:marker>
          <c:trendline>
            <c:spPr>
              <a:ln w="19050" cap="rnd">
                <a:solidFill>
                  <a:schemeClr val="accent2">
                    <a:lumMod val="60000"/>
                  </a:schemeClr>
                </a:solidFill>
                <a:prstDash val="sysDot"/>
              </a:ln>
              <a:effectLst/>
            </c:spPr>
            <c:trendlineType val="linear"/>
            <c:dispRSqr val="0"/>
            <c:dispEq val="1"/>
            <c:trendlineLbl>
              <c:layout>
                <c:manualLayout>
                  <c:x val="7.6484614796138314E-2"/>
                  <c:y val="0.1238958474337554"/>
                </c:manualLayout>
              </c:layout>
              <c:numFmt formatCode="#,##0.0000" sourceLinked="0"/>
              <c:spPr>
                <a:noFill/>
                <a:ln>
                  <a:noFill/>
                </a:ln>
                <a:effectLst/>
              </c:spPr>
              <c:txPr>
                <a:bodyPr rot="0" spcFirstLastPara="1" vertOverflow="ellipsis" vert="horz" wrap="square" anchor="ctr" anchorCtr="1"/>
                <a:lstStyle/>
                <a:p>
                  <a:pPr>
                    <a:defRPr sz="1100" b="0" i="0" u="none" strike="noStrike" kern="1200" baseline="0">
                      <a:solidFill>
                        <a:srgbClr val="C00000"/>
                      </a:solidFill>
                      <a:latin typeface="+mn-lt"/>
                      <a:ea typeface="+mn-ea"/>
                      <a:cs typeface="+mn-cs"/>
                    </a:defRPr>
                  </a:pPr>
                  <a:endParaRPr lang="en-US"/>
                </a:p>
              </c:txPr>
            </c:trendlineLbl>
          </c:trendline>
          <c:xVal>
            <c:numRef>
              <c:f>'Reference Curves'!$Y$182:$Z$182</c:f>
              <c:numCache>
                <c:formatCode>General</c:formatCode>
                <c:ptCount val="2"/>
                <c:pt idx="0">
                  <c:v>200</c:v>
                </c:pt>
                <c:pt idx="1">
                  <c:v>300</c:v>
                </c:pt>
              </c:numCache>
            </c:numRef>
          </c:xVal>
          <c:yVal>
            <c:numRef>
              <c:f>'Reference Curves'!$Y$183:$Z$183</c:f>
              <c:numCache>
                <c:formatCode>0.00</c:formatCode>
                <c:ptCount val="2"/>
                <c:pt idx="0">
                  <c:v>0.7</c:v>
                </c:pt>
                <c:pt idx="1">
                  <c:v>1</c:v>
                </c:pt>
              </c:numCache>
            </c:numRef>
          </c:yVal>
          <c:smooth val="0"/>
          <c:extLst>
            <c:ext xmlns:c16="http://schemas.microsoft.com/office/drawing/2014/chart" uri="{C3380CC4-5D6E-409C-BE32-E72D297353CC}">
              <c16:uniqueId val="{00000011-3B79-4117-8116-2F8D24C0A67B}"/>
            </c:ext>
          </c:extLst>
        </c:ser>
        <c:dLbls>
          <c:showLegendKey val="0"/>
          <c:showVal val="0"/>
          <c:showCatName val="0"/>
          <c:showSerName val="0"/>
          <c:showPercent val="0"/>
          <c:showBubbleSize val="0"/>
        </c:dLbls>
        <c:axId val="387076728"/>
        <c:axId val="387077904"/>
        <c:extLst/>
      </c:scatterChart>
      <c:valAx>
        <c:axId val="387076728"/>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(ft)</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077904"/>
        <c:crosses val="autoZero"/>
        <c:crossBetween val="midCat"/>
      </c:valAx>
      <c:valAx>
        <c:axId val="387077904"/>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a:t>
                </a:r>
                <a:r>
                  <a:rPr lang="en-US" sz="1100" baseline="0"/>
                  <a:t> Value</a:t>
                </a:r>
                <a:endParaRPr lang="en-US" sz="1100"/>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076728"/>
        <c:crosses val="autoZero"/>
        <c:crossBetween val="midCat"/>
      </c:valAx>
      <c:spPr>
        <a:noFill/>
        <a:ln>
          <a:noFill/>
        </a:ln>
        <a:effectLst/>
      </c:spPr>
    </c:plotArea>
    <c:legend>
      <c:legendPos val="r"/>
      <c:legendEntry>
        <c:idx val="8"/>
        <c:delete val="1"/>
      </c:legendEntry>
      <c:legendEntry>
        <c:idx val="9"/>
        <c:delete val="1"/>
      </c:legendEntry>
      <c:legendEntry>
        <c:idx val="10"/>
        <c:delete val="1"/>
      </c:legendEntry>
      <c:legendEntry>
        <c:idx val="16"/>
        <c:delete val="1"/>
      </c:legendEntry>
      <c:layout>
        <c:manualLayout>
          <c:xMode val="edge"/>
          <c:yMode val="edge"/>
          <c:x val="0.74821515667976546"/>
          <c:y val="6.5762511796611078E-2"/>
          <c:w val="0.24005954709493585"/>
          <c:h val="0.8889462315525557"/>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Average</a:t>
            </a:r>
            <a:r>
              <a:rPr lang="en-US" baseline="0"/>
              <a:t> DBH</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poly"/>
            <c:order val="2"/>
            <c:dispRSqr val="0"/>
            <c:dispEq val="1"/>
            <c:trendlineLbl>
              <c:layout>
                <c:manualLayout>
                  <c:x val="-0.21757498101899753"/>
                  <c:y val="7.9194264536669862E-2"/>
                </c:manualLayout>
              </c:layout>
              <c:numFmt formatCode="#,##0.0000" sourceLinked="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rendlineLbl>
          </c:trendline>
          <c:xVal>
            <c:numRef>
              <c:f>'Reference Curves'!$U$325:$Z$325</c:f>
              <c:numCache>
                <c:formatCode>0.0</c:formatCode>
                <c:ptCount val="6"/>
                <c:pt idx="0">
                  <c:v>0</c:v>
                </c:pt>
                <c:pt idx="5">
                  <c:v>9.3000000000000007</c:v>
                </c:pt>
              </c:numCache>
            </c:numRef>
          </c:xVal>
          <c:yVal>
            <c:numRef>
              <c:f>'Reference Curves'!$U$326:$Z$326</c:f>
              <c:numCache>
                <c:formatCode>0.00</c:formatCode>
                <c:ptCount val="6"/>
                <c:pt idx="0">
                  <c:v>0</c:v>
                </c:pt>
                <c:pt idx="1">
                  <c:v>0.28999999999999998</c:v>
                </c:pt>
                <c:pt idx="2">
                  <c:v>0.3</c:v>
                </c:pt>
                <c:pt idx="3">
                  <c:v>0.69</c:v>
                </c:pt>
                <c:pt idx="4">
                  <c:v>0.7</c:v>
                </c:pt>
                <c:pt idx="5">
                  <c:v>1</c:v>
                </c:pt>
              </c:numCache>
            </c:numRef>
          </c:yVal>
          <c:smooth val="0"/>
          <c:extLst>
            <c:ext xmlns:c16="http://schemas.microsoft.com/office/drawing/2014/chart" uri="{C3380CC4-5D6E-409C-BE32-E72D297353CC}">
              <c16:uniqueId val="{00000000-4DFD-4BB9-9B0D-3CE048A84054}"/>
            </c:ext>
          </c:extLst>
        </c:ser>
        <c:dLbls>
          <c:showLegendKey val="0"/>
          <c:showVal val="0"/>
          <c:showCatName val="0"/>
          <c:showSerName val="0"/>
          <c:showPercent val="0"/>
          <c:showBubbleSize val="0"/>
        </c:dLbls>
        <c:axId val="387530096"/>
        <c:axId val="387529312"/>
      </c:scatterChart>
      <c:valAx>
        <c:axId val="387530096"/>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(in)</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29312"/>
        <c:crosses val="autoZero"/>
        <c:crossBetween val="midCat"/>
      </c:valAx>
      <c:valAx>
        <c:axId val="387529312"/>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layout>
            <c:manualLayout>
              <c:xMode val="edge"/>
              <c:yMode val="edge"/>
              <c:x val="1.3246601125543879E-2"/>
              <c:y val="0.41211560900726951"/>
            </c:manualLayout>
          </c:layout>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30096"/>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EPT Taxa Present - Southeastern Plains and Middle Atlantic Coastal</a:t>
            </a:r>
            <a:r>
              <a:rPr lang="en-US" baseline="0"/>
              <a:t> Plain</a:t>
            </a:r>
            <a:endParaRPr lang="en-US"/>
          </a:p>
        </c:rich>
      </c:tx>
      <c:layout>
        <c:manualLayout>
          <c:xMode val="edge"/>
          <c:yMode val="edge"/>
          <c:x val="0.16605380103660328"/>
          <c:y val="2.8671963949711762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v>NF</c:v>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5.7819730381796774E-2"/>
                  <c:y val="-3.6256092899573003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Curves'!$AO$78:$AQ$78</c:f>
              <c:numCache>
                <c:formatCode>0.0000</c:formatCode>
                <c:ptCount val="3"/>
                <c:pt idx="0" formatCode="General">
                  <c:v>0</c:v>
                </c:pt>
                <c:pt idx="2" formatCode="General">
                  <c:v>5</c:v>
                </c:pt>
              </c:numCache>
            </c:numRef>
          </c:xVal>
          <c:yVal>
            <c:numRef>
              <c:f>'Reference Curves'!$AO$79:$AQ$79</c:f>
              <c:numCache>
                <c:formatCode>0.00</c:formatCode>
                <c:ptCount val="3"/>
                <c:pt idx="0">
                  <c:v>0</c:v>
                </c:pt>
                <c:pt idx="1">
                  <c:v>0.28999999999999998</c:v>
                </c:pt>
                <c:pt idx="2">
                  <c:v>0.3</c:v>
                </c:pt>
              </c:numCache>
            </c:numRef>
          </c:yVal>
          <c:smooth val="0"/>
          <c:extLst>
            <c:ext xmlns:c16="http://schemas.microsoft.com/office/drawing/2014/chart" uri="{C3380CC4-5D6E-409C-BE32-E72D297353CC}">
              <c16:uniqueId val="{00000000-3220-4B15-9F7A-7763D44DA4C2}"/>
            </c:ext>
          </c:extLst>
        </c:ser>
        <c:ser>
          <c:idx val="1"/>
          <c:order val="1"/>
          <c:tx>
            <c:v>FAR</c:v>
          </c:tx>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0.10810943547310828"/>
                  <c:y val="7.1722693317181507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Curves'!$AQ$78:$AS$78</c:f>
              <c:numCache>
                <c:formatCode>General</c:formatCode>
                <c:ptCount val="3"/>
                <c:pt idx="0">
                  <c:v>5</c:v>
                </c:pt>
                <c:pt idx="2">
                  <c:v>10</c:v>
                </c:pt>
              </c:numCache>
            </c:numRef>
          </c:xVal>
          <c:yVal>
            <c:numRef>
              <c:f>'Reference Curves'!$AQ$79:$AS$79</c:f>
              <c:numCache>
                <c:formatCode>0.00</c:formatCode>
                <c:ptCount val="3"/>
                <c:pt idx="0">
                  <c:v>0.3</c:v>
                </c:pt>
                <c:pt idx="1">
                  <c:v>0.69</c:v>
                </c:pt>
                <c:pt idx="2">
                  <c:v>0.7</c:v>
                </c:pt>
              </c:numCache>
            </c:numRef>
          </c:yVal>
          <c:smooth val="0"/>
          <c:extLst>
            <c:ext xmlns:c16="http://schemas.microsoft.com/office/drawing/2014/chart" uri="{C3380CC4-5D6E-409C-BE32-E72D297353CC}">
              <c16:uniqueId val="{00000002-02B1-43B9-898D-9556352A5482}"/>
            </c:ext>
          </c:extLst>
        </c:ser>
        <c:ser>
          <c:idx val="2"/>
          <c:order val="2"/>
          <c:tx>
            <c:v>F</c:v>
          </c:tx>
          <c:spPr>
            <a:ln w="25400" cap="rnd">
              <a:noFill/>
              <a:round/>
            </a:ln>
            <a:effectLst/>
          </c:spPr>
          <c:marker>
            <c:symbol val="circle"/>
            <c:size val="5"/>
            <c:spPr>
              <a:solidFill>
                <a:schemeClr val="accent3"/>
              </a:solidFill>
              <a:ln w="9525">
                <a:solidFill>
                  <a:schemeClr val="accent3"/>
                </a:solidFill>
              </a:ln>
              <a:effectLst/>
            </c:spPr>
          </c:marker>
          <c:trendline>
            <c:spPr>
              <a:ln w="19050" cap="rnd">
                <a:solidFill>
                  <a:schemeClr val="accent3"/>
                </a:solidFill>
                <a:prstDash val="sysDot"/>
              </a:ln>
              <a:effectLst/>
            </c:spPr>
            <c:trendlineType val="linear"/>
            <c:dispRSqr val="0"/>
            <c:dispEq val="1"/>
            <c:trendlineLbl>
              <c:layout>
                <c:manualLayout>
                  <c:x val="-0.1616114595845011"/>
                  <c:y val="4.7500000000000028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rendlineLbl>
          </c:trendline>
          <c:xVal>
            <c:numRef>
              <c:f>'Reference Curves'!$AS$78:$AT$78</c:f>
              <c:numCache>
                <c:formatCode>General</c:formatCode>
                <c:ptCount val="2"/>
                <c:pt idx="0">
                  <c:v>10</c:v>
                </c:pt>
                <c:pt idx="1">
                  <c:v>15</c:v>
                </c:pt>
              </c:numCache>
            </c:numRef>
          </c:xVal>
          <c:yVal>
            <c:numRef>
              <c:f>'Reference Curves'!$AS$79:$AT$79</c:f>
              <c:numCache>
                <c:formatCode>0.00</c:formatCode>
                <c:ptCount val="2"/>
                <c:pt idx="0">
                  <c:v>0.7</c:v>
                </c:pt>
                <c:pt idx="1">
                  <c:v>1</c:v>
                </c:pt>
              </c:numCache>
            </c:numRef>
          </c:yVal>
          <c:smooth val="0"/>
          <c:extLst>
            <c:ext xmlns:c16="http://schemas.microsoft.com/office/drawing/2014/chart" uri="{C3380CC4-5D6E-409C-BE32-E72D297353CC}">
              <c16:uniqueId val="{00000002-9971-40B4-BF80-7F6BFACA9D0C}"/>
            </c:ext>
          </c:extLst>
        </c:ser>
        <c:dLbls>
          <c:showLegendKey val="0"/>
          <c:showVal val="0"/>
          <c:showCatName val="0"/>
          <c:showSerName val="0"/>
          <c:showPercent val="0"/>
          <c:showBubbleSize val="0"/>
        </c:dLbls>
        <c:axId val="387525784"/>
        <c:axId val="387528528"/>
      </c:scatterChart>
      <c:valAx>
        <c:axId val="387525784"/>
        <c:scaling>
          <c:orientation val="minMax"/>
          <c:min val="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 taxa)</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28528"/>
        <c:crosses val="autoZero"/>
        <c:crossBetween val="midCat"/>
      </c:valAx>
      <c:valAx>
        <c:axId val="387528528"/>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layout>
            <c:manualLayout>
              <c:xMode val="edge"/>
              <c:yMode val="edge"/>
              <c:x val="1.1349222363794587E-2"/>
              <c:y val="0.40204638848705099"/>
            </c:manualLayout>
          </c:layout>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25784"/>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Percent Shredders - Mountains &amp; DA ≥ 10</a:t>
            </a:r>
            <a:r>
              <a:rPr lang="en-US" baseline="0"/>
              <a:t> </a:t>
            </a:r>
            <a:r>
              <a:rPr lang="en-US"/>
              <a:t>Sq. Mi.</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1.5572812731352154E-2"/>
                  <c:y val="0.21589404868709847"/>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0-78A0-4F6D-9C6B-FDE1FA9E0BE5}"/>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0.29755688271040481"/>
                  <c:y val="0.24541345841902715"/>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1-78A0-4F6D-9C6B-FDE1FA9E0BE5}"/>
            </c:ext>
          </c:extLst>
        </c:ser>
        <c:ser>
          <c:idx val="2"/>
          <c:order val="2"/>
          <c:spPr>
            <a:ln w="25400" cap="rnd">
              <a:noFill/>
              <a:round/>
            </a:ln>
            <a:effectLst/>
          </c:spPr>
          <c:marker>
            <c:symbol val="circle"/>
            <c:size val="5"/>
            <c:spPr>
              <a:solidFill>
                <a:schemeClr val="accent3"/>
              </a:solidFill>
              <a:ln w="9525">
                <a:solidFill>
                  <a:schemeClr val="accent3"/>
                </a:solidFill>
              </a:ln>
              <a:effectLst/>
            </c:spPr>
          </c:marker>
          <c:trendline>
            <c:spPr>
              <a:ln w="19050" cap="rnd">
                <a:solidFill>
                  <a:schemeClr val="accent3"/>
                </a:solidFill>
                <a:prstDash val="sysDot"/>
              </a:ln>
              <a:effectLst/>
            </c:spPr>
            <c:trendlineType val="linear"/>
            <c:dispRSqr val="0"/>
            <c:dispEq val="1"/>
            <c:trendlineLbl>
              <c:layout>
                <c:manualLayout>
                  <c:x val="0.10466146032898242"/>
                  <c:y val="0.10051527917466045"/>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2-78A0-4F6D-9C6B-FDE1FA9E0BE5}"/>
            </c:ext>
          </c:extLst>
        </c:ser>
        <c:dLbls>
          <c:showLegendKey val="0"/>
          <c:showVal val="0"/>
          <c:showCatName val="0"/>
          <c:showSerName val="0"/>
          <c:showPercent val="0"/>
          <c:showBubbleSize val="0"/>
        </c:dLbls>
        <c:axId val="387523824"/>
        <c:axId val="387524608"/>
      </c:scatterChart>
      <c:valAx>
        <c:axId val="387523824"/>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a:t>
                </a:r>
                <a:r>
                  <a:rPr lang="en-US" sz="1100" baseline="0"/>
                  <a:t> (%)</a:t>
                </a:r>
                <a:endParaRPr lang="en-US" sz="1100"/>
              </a:p>
            </c:rich>
          </c:tx>
          <c:layout>
            <c:manualLayout>
              <c:xMode val="edge"/>
              <c:yMode val="edge"/>
              <c:x val="0.33399119899302526"/>
              <c:y val="0.92718533213216658"/>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24608"/>
        <c:crosses val="autoZero"/>
        <c:crossBetween val="midCat"/>
      </c:valAx>
      <c:valAx>
        <c:axId val="387524608"/>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23824"/>
        <c:crosses val="autoZero"/>
        <c:crossBetween val="midCat"/>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Percent Shredders - Piedmont &amp; DA ≤ 5 </a:t>
            </a:r>
            <a:r>
              <a:rPr lang="en-US" sz="1400" b="0" i="0" u="none" strike="noStrike" baseline="0">
                <a:effectLst/>
              </a:rPr>
              <a:t>Sq. Mi.</a:t>
            </a:r>
            <a:endParaRPr lang="en-US"/>
          </a:p>
        </c:rich>
      </c:tx>
      <c:layout>
        <c:manualLayout>
          <c:xMode val="edge"/>
          <c:yMode val="edge"/>
          <c:x val="0.23511562831878594"/>
          <c:y val="1.798618887292214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3.5962377625615112E-2"/>
                  <c:y val="0.31075922690622293"/>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3-EA27-4023-B7F5-66C35F44F46B}"/>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8.9085374818811958E-2"/>
                  <c:y val="7.4672660804081775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4-EA27-4023-B7F5-66C35F44F46B}"/>
            </c:ext>
          </c:extLst>
        </c:ser>
        <c:ser>
          <c:idx val="2"/>
          <c:order val="2"/>
          <c:spPr>
            <a:ln w="25400" cap="rnd">
              <a:noFill/>
              <a:round/>
            </a:ln>
            <a:effectLst/>
          </c:spPr>
          <c:marker>
            <c:symbol val="circle"/>
            <c:size val="5"/>
            <c:spPr>
              <a:solidFill>
                <a:schemeClr val="accent3"/>
              </a:solidFill>
              <a:ln w="9525">
                <a:solidFill>
                  <a:schemeClr val="accent3"/>
                </a:solidFill>
              </a:ln>
              <a:effectLst/>
            </c:spPr>
          </c:marker>
          <c:trendline>
            <c:spPr>
              <a:ln w="19050" cap="rnd">
                <a:solidFill>
                  <a:schemeClr val="accent3"/>
                </a:solidFill>
                <a:prstDash val="sysDot"/>
              </a:ln>
              <a:effectLst/>
            </c:spPr>
            <c:trendlineType val="linear"/>
            <c:dispRSqr val="0"/>
            <c:dispEq val="1"/>
            <c:trendlineLbl>
              <c:layout>
                <c:manualLayout>
                  <c:x val="6.8572006239258992E-2"/>
                  <c:y val="5.069107564018558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5-EA27-4023-B7F5-66C35F44F46B}"/>
            </c:ext>
          </c:extLst>
        </c:ser>
        <c:dLbls>
          <c:showLegendKey val="0"/>
          <c:showVal val="0"/>
          <c:showCatName val="0"/>
          <c:showSerName val="0"/>
          <c:showPercent val="0"/>
          <c:showBubbleSize val="0"/>
        </c:dLbls>
        <c:axId val="387524216"/>
        <c:axId val="387525000"/>
      </c:scatterChart>
      <c:valAx>
        <c:axId val="387524216"/>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a:t>
                </a:r>
              </a:p>
            </c:rich>
          </c:tx>
          <c:layout>
            <c:manualLayout>
              <c:xMode val="edge"/>
              <c:yMode val="edge"/>
              <c:x val="0.33482121428702211"/>
              <c:y val="0.93092288653975608"/>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25000"/>
        <c:crosses val="autoZero"/>
        <c:crossBetween val="midCat"/>
      </c:valAx>
      <c:valAx>
        <c:axId val="387525000"/>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24216"/>
        <c:crosses val="autoZero"/>
        <c:crossBetween val="midCat"/>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Percent Shredders - Piedmont &amp; 5 &lt; DA &lt; 10</a:t>
            </a:r>
            <a:r>
              <a:rPr lang="en-US" baseline="0"/>
              <a:t> </a:t>
            </a:r>
            <a:r>
              <a:rPr lang="en-US" sz="1400" b="0" i="0" u="none" strike="noStrike" baseline="0">
                <a:effectLst/>
              </a:rPr>
              <a:t>Sq. Mi.</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7.3299077249344965E-2"/>
                  <c:y val="0.20593589591681341"/>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3-F2AB-4468-821D-6CCCA4BEBFC9}"/>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3.1710141233825241E-2"/>
                  <c:y val="5.5113754486865424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4-F2AB-4468-821D-6CCCA4BEBFC9}"/>
            </c:ext>
          </c:extLst>
        </c:ser>
        <c:ser>
          <c:idx val="2"/>
          <c:order val="2"/>
          <c:spPr>
            <a:ln w="25400" cap="rnd">
              <a:noFill/>
              <a:round/>
            </a:ln>
            <a:effectLst/>
          </c:spPr>
          <c:marker>
            <c:symbol val="circle"/>
            <c:size val="5"/>
            <c:spPr>
              <a:solidFill>
                <a:schemeClr val="accent3"/>
              </a:solidFill>
              <a:ln w="9525">
                <a:solidFill>
                  <a:schemeClr val="accent3"/>
                </a:solidFill>
              </a:ln>
              <a:effectLst/>
            </c:spPr>
          </c:marker>
          <c:trendline>
            <c:spPr>
              <a:ln w="19050" cap="rnd">
                <a:solidFill>
                  <a:schemeClr val="accent3"/>
                </a:solidFill>
                <a:prstDash val="sysDot"/>
              </a:ln>
              <a:effectLst/>
            </c:spPr>
            <c:trendlineType val="linear"/>
            <c:dispRSqr val="0"/>
            <c:dispEq val="1"/>
            <c:trendlineLbl>
              <c:layout>
                <c:manualLayout>
                  <c:x val="9.8377893371407552E-2"/>
                  <c:y val="6.1545542356612991E-3"/>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5-F2AB-4468-821D-6CCCA4BEBFC9}"/>
            </c:ext>
          </c:extLst>
        </c:ser>
        <c:dLbls>
          <c:showLegendKey val="0"/>
          <c:showVal val="0"/>
          <c:showCatName val="0"/>
          <c:showSerName val="0"/>
          <c:showPercent val="0"/>
          <c:showBubbleSize val="0"/>
        </c:dLbls>
        <c:axId val="387592128"/>
        <c:axId val="387588600"/>
      </c:scatterChart>
      <c:valAx>
        <c:axId val="387592128"/>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88600"/>
        <c:crosses val="autoZero"/>
        <c:crossBetween val="midCat"/>
      </c:valAx>
      <c:valAx>
        <c:axId val="387588600"/>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92128"/>
        <c:crosses val="autoZero"/>
        <c:crossBetween val="midCat"/>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Percent Shredders - Piedmont &amp; DA ≥10</a:t>
            </a:r>
            <a:r>
              <a:rPr lang="en-US" baseline="0"/>
              <a:t> </a:t>
            </a:r>
            <a:r>
              <a:rPr lang="en-US"/>
              <a:t>Sq. Mi.</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1.3674822821824627E-2"/>
                  <c:y val="0.27767367863733927"/>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3-943D-4844-BBFE-6B923BF7EC4E}"/>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8.8757518901838167E-2"/>
                  <c:y val="3.4342091512149495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4-943D-4844-BBFE-6B923BF7EC4E}"/>
            </c:ext>
          </c:extLst>
        </c:ser>
        <c:ser>
          <c:idx val="2"/>
          <c:order val="2"/>
          <c:spPr>
            <a:ln w="25400" cap="rnd">
              <a:noFill/>
              <a:round/>
            </a:ln>
            <a:effectLst/>
          </c:spPr>
          <c:marker>
            <c:symbol val="circle"/>
            <c:size val="5"/>
            <c:spPr>
              <a:solidFill>
                <a:schemeClr val="accent3"/>
              </a:solidFill>
              <a:ln w="9525">
                <a:solidFill>
                  <a:schemeClr val="accent3"/>
                </a:solidFill>
              </a:ln>
              <a:effectLst/>
            </c:spPr>
          </c:marker>
          <c:trendline>
            <c:spPr>
              <a:ln w="19050" cap="rnd">
                <a:solidFill>
                  <a:schemeClr val="accent3"/>
                </a:solidFill>
                <a:prstDash val="sysDot"/>
              </a:ln>
              <a:effectLst/>
            </c:spPr>
            <c:trendlineType val="linear"/>
            <c:dispRSqr val="0"/>
            <c:dispEq val="1"/>
            <c:trendlineLbl>
              <c:layout>
                <c:manualLayout>
                  <c:x val="4.6399617153402975E-2"/>
                  <c:y val="0.19028498939779301"/>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5-943D-4844-BBFE-6B923BF7EC4E}"/>
            </c:ext>
          </c:extLst>
        </c:ser>
        <c:dLbls>
          <c:showLegendKey val="0"/>
          <c:showVal val="0"/>
          <c:showCatName val="0"/>
          <c:showSerName val="0"/>
          <c:showPercent val="0"/>
          <c:showBubbleSize val="0"/>
        </c:dLbls>
        <c:axId val="387593696"/>
        <c:axId val="387591736"/>
      </c:scatterChart>
      <c:valAx>
        <c:axId val="387593696"/>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91736"/>
        <c:crosses val="autoZero"/>
        <c:crossBetween val="midCat"/>
      </c:valAx>
      <c:valAx>
        <c:axId val="387591736"/>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93696"/>
        <c:crosses val="autoZero"/>
        <c:crossBetween val="midCat"/>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Percent Shredders - Coastal &amp; DA ≤5 Sq. Mi.</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1.4373442476634239E-2"/>
                  <c:y val="0.26153885500986357"/>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3-BB78-4E06-BDC0-827238EE1C9F}"/>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6.1206630754652713E-2"/>
                  <c:y val="3.4886115710130658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4-BB78-4E06-BDC0-827238EE1C9F}"/>
            </c:ext>
          </c:extLst>
        </c:ser>
        <c:ser>
          <c:idx val="2"/>
          <c:order val="2"/>
          <c:spPr>
            <a:ln w="25400" cap="rnd">
              <a:noFill/>
              <a:round/>
            </a:ln>
            <a:effectLst/>
          </c:spPr>
          <c:marker>
            <c:symbol val="circle"/>
            <c:size val="5"/>
            <c:spPr>
              <a:solidFill>
                <a:schemeClr val="accent3"/>
              </a:solidFill>
              <a:ln w="9525">
                <a:solidFill>
                  <a:schemeClr val="accent3"/>
                </a:solidFill>
              </a:ln>
              <a:effectLst/>
            </c:spPr>
          </c:marker>
          <c:trendline>
            <c:spPr>
              <a:ln w="19050" cap="rnd">
                <a:solidFill>
                  <a:schemeClr val="accent3"/>
                </a:solidFill>
                <a:prstDash val="sysDot"/>
              </a:ln>
              <a:effectLst/>
            </c:spPr>
            <c:trendlineType val="linear"/>
            <c:dispRSqr val="0"/>
            <c:dispEq val="1"/>
            <c:trendlineLbl>
              <c:layout>
                <c:manualLayout>
                  <c:x val="-8.7565640047975957E-2"/>
                  <c:y val="3.2034677392753681E-3"/>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5-BB78-4E06-BDC0-827238EE1C9F}"/>
            </c:ext>
          </c:extLst>
        </c:ser>
        <c:dLbls>
          <c:showLegendKey val="0"/>
          <c:showVal val="0"/>
          <c:showCatName val="0"/>
          <c:showSerName val="0"/>
          <c:showPercent val="0"/>
          <c:showBubbleSize val="0"/>
        </c:dLbls>
        <c:axId val="387590560"/>
        <c:axId val="387594088"/>
      </c:scatterChart>
      <c:valAx>
        <c:axId val="387590560"/>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94088"/>
        <c:crosses val="autoZero"/>
        <c:crossBetween val="midCat"/>
      </c:valAx>
      <c:valAx>
        <c:axId val="387594088"/>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90560"/>
        <c:crosses val="autoZero"/>
        <c:crossBetween val="midCat"/>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Percent Shredders - Coastal &amp; 5 &lt; DA &lt; 10</a:t>
            </a:r>
            <a:r>
              <a:rPr lang="en-US" baseline="0"/>
              <a:t> </a:t>
            </a:r>
            <a:r>
              <a:rPr lang="en-US"/>
              <a:t>Sq. Mi.</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5.5034286386277144E-2"/>
                  <c:y val="9.9680856030137599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3-C7D5-40CC-907B-3BAF421497DA}"/>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8.6816022252139746E-2"/>
                  <c:y val="7.57261963537047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4-C7D5-40CC-907B-3BAF421497DA}"/>
            </c:ext>
          </c:extLst>
        </c:ser>
        <c:ser>
          <c:idx val="2"/>
          <c:order val="2"/>
          <c:spPr>
            <a:ln w="25400" cap="rnd">
              <a:noFill/>
              <a:round/>
            </a:ln>
            <a:effectLst/>
          </c:spPr>
          <c:marker>
            <c:symbol val="circle"/>
            <c:size val="5"/>
            <c:spPr>
              <a:solidFill>
                <a:schemeClr val="accent3"/>
              </a:solidFill>
              <a:ln w="9525">
                <a:solidFill>
                  <a:schemeClr val="accent3"/>
                </a:solidFill>
              </a:ln>
              <a:effectLst/>
            </c:spPr>
          </c:marker>
          <c:trendline>
            <c:spPr>
              <a:ln w="19050" cap="rnd">
                <a:solidFill>
                  <a:schemeClr val="accent3"/>
                </a:solidFill>
                <a:prstDash val="sysDot"/>
              </a:ln>
              <a:effectLst/>
            </c:spPr>
            <c:trendlineType val="linear"/>
            <c:dispRSqr val="0"/>
            <c:dispEq val="1"/>
            <c:trendlineLbl>
              <c:layout>
                <c:manualLayout>
                  <c:x val="-4.8789971720687407E-2"/>
                  <c:y val="9.2512396065300637E-3"/>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5-C7D5-40CC-907B-3BAF421497DA}"/>
            </c:ext>
          </c:extLst>
        </c:ser>
        <c:dLbls>
          <c:showLegendKey val="0"/>
          <c:showVal val="0"/>
          <c:showCatName val="0"/>
          <c:showSerName val="0"/>
          <c:showPercent val="0"/>
          <c:showBubbleSize val="0"/>
        </c:dLbls>
        <c:axId val="387589776"/>
        <c:axId val="387593304"/>
      </c:scatterChart>
      <c:valAx>
        <c:axId val="387589776"/>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93304"/>
        <c:crosses val="autoZero"/>
        <c:crossBetween val="midCat"/>
      </c:valAx>
      <c:valAx>
        <c:axId val="387593304"/>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89776"/>
        <c:crosses val="autoZero"/>
        <c:crossBetween val="midCat"/>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Percent Shredders - Coastal &amp; DA ≥ 10</a:t>
            </a:r>
            <a:r>
              <a:rPr lang="en-US" baseline="0"/>
              <a:t> </a:t>
            </a:r>
            <a:r>
              <a:rPr lang="en-US"/>
              <a:t>Sq. Mi.</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9.9077129959617954E-2"/>
                  <c:y val="0.34244579711092649"/>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3-103E-41F5-B9BD-E4456F6C681E}"/>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8.4242215654693128E-2"/>
                  <c:y val="5.2432996170097591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4-103E-41F5-B9BD-E4456F6C681E}"/>
            </c:ext>
          </c:extLst>
        </c:ser>
        <c:ser>
          <c:idx val="2"/>
          <c:order val="2"/>
          <c:spPr>
            <a:ln w="25400" cap="rnd">
              <a:noFill/>
              <a:round/>
            </a:ln>
            <a:effectLst/>
          </c:spPr>
          <c:marker>
            <c:symbol val="circle"/>
            <c:size val="5"/>
            <c:spPr>
              <a:solidFill>
                <a:schemeClr val="accent3"/>
              </a:solidFill>
              <a:ln w="9525">
                <a:solidFill>
                  <a:schemeClr val="accent3"/>
                </a:solidFill>
              </a:ln>
              <a:effectLst/>
            </c:spPr>
          </c:marker>
          <c:trendline>
            <c:spPr>
              <a:ln w="19050" cap="rnd">
                <a:solidFill>
                  <a:schemeClr val="accent3"/>
                </a:solidFill>
                <a:prstDash val="sysDot"/>
              </a:ln>
              <a:effectLst/>
            </c:spPr>
            <c:trendlineType val="linear"/>
            <c:dispRSqr val="0"/>
            <c:dispEq val="1"/>
            <c:trendlineLbl>
              <c:layout>
                <c:manualLayout>
                  <c:x val="-4.4260070958061601E-2"/>
                  <c:y val="1.288579604180274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rendlineLbl>
          </c:trendline>
          <c:xVal>
            <c:numRef>
              <c:f>'Reference Curves'!#REF!</c:f>
            </c:numRef>
          </c:xVal>
          <c:yVal>
            <c:numRef>
              <c:f>'Reference Curves'!#REF!</c:f>
              <c:numCache>
                <c:formatCode>General</c:formatCode>
                <c:ptCount val="1"/>
                <c:pt idx="0">
                  <c:v>1</c:v>
                </c:pt>
              </c:numCache>
            </c:numRef>
          </c:yVal>
          <c:smooth val="0"/>
          <c:extLst>
            <c:ext xmlns:c15="http://schemas.microsoft.com/office/drawing/2012/chart" uri="{02D57815-91ED-43cb-92C2-25804820EDAC}">
              <c15:filteredSeriesTitle>
                <c15:tx>
                  <c:strRef>
                    <c:extLst>
                      <c:ext uri="{02D57815-91ED-43cb-92C2-25804820EDAC}">
                        <c15:formulaRef>
                          <c15:sqref>'Reference Curves'!#REF!</c15:sqref>
                        </c15:formulaRef>
                      </c:ext>
                    </c:extLst>
                    <c:strCache>
                      <c:ptCount val="1"/>
                      <c:pt idx="0">
                        <c:v>#REF!</c:v>
                      </c:pt>
                    </c:strCache>
                  </c:strRef>
                </c15:tx>
              </c15:filteredSeriesTitle>
            </c:ext>
            <c:ext xmlns:c16="http://schemas.microsoft.com/office/drawing/2014/chart" uri="{C3380CC4-5D6E-409C-BE32-E72D297353CC}">
              <c16:uniqueId val="{00000005-103E-41F5-B9BD-E4456F6C681E}"/>
            </c:ext>
          </c:extLst>
        </c:ser>
        <c:dLbls>
          <c:showLegendKey val="0"/>
          <c:showVal val="0"/>
          <c:showCatName val="0"/>
          <c:showSerName val="0"/>
          <c:showPercent val="0"/>
          <c:showBubbleSize val="0"/>
        </c:dLbls>
        <c:axId val="387595656"/>
        <c:axId val="387588992"/>
      </c:scatterChart>
      <c:valAx>
        <c:axId val="387595656"/>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88992"/>
        <c:crosses val="autoZero"/>
        <c:crossBetween val="midCat"/>
      </c:valAx>
      <c:valAx>
        <c:axId val="387588992"/>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95656"/>
        <c:crosses val="autoZero"/>
        <c:crossBetween val="midCat"/>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Land</a:t>
            </a:r>
            <a:r>
              <a:rPr lang="en-US" baseline="0"/>
              <a:t> Use Coefficient</a:t>
            </a:r>
            <a:endParaRPr lang="en-US"/>
          </a:p>
        </c:rich>
      </c:tx>
      <c:overlay val="0"/>
      <c:spPr>
        <a:noFill/>
        <a:ln>
          <a:noFill/>
        </a:ln>
        <a:effectLst/>
      </c:spPr>
    </c:title>
    <c:autoTitleDeleted val="0"/>
    <c:plotArea>
      <c:layout/>
      <c:scatterChart>
        <c:scatterStyle val="lineMarker"/>
        <c:varyColors val="0"/>
        <c:ser>
          <c:idx val="0"/>
          <c:order val="0"/>
          <c:tx>
            <c:strRef>
              <c:f>'Reference Curves'!$C$12</c:f>
              <c:strCache>
                <c:ptCount val="1"/>
              </c:strCache>
            </c:strRef>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poly"/>
            <c:order val="2"/>
            <c:forward val="30"/>
            <c:dispRSqr val="0"/>
            <c:dispEq val="1"/>
            <c:trendlineLbl>
              <c:layout>
                <c:manualLayout>
                  <c:x val="-0.30703074844281508"/>
                  <c:y val="-0.54032046045485849"/>
                </c:manualLayout>
              </c:layout>
              <c:numFmt formatCode="#,##0.000000"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Curves'!$C$10:$H$10</c:f>
              <c:numCache>
                <c:formatCode>General</c:formatCode>
                <c:ptCount val="6"/>
                <c:pt idx="4">
                  <c:v>62</c:v>
                </c:pt>
                <c:pt idx="5" formatCode="0">
                  <c:v>55</c:v>
                </c:pt>
              </c:numCache>
            </c:numRef>
          </c:xVal>
          <c:yVal>
            <c:numRef>
              <c:f>'Reference Curves'!$C$11:$H$11</c:f>
              <c:numCache>
                <c:formatCode>0.00</c:formatCode>
                <c:ptCount val="6"/>
                <c:pt idx="0">
                  <c:v>0</c:v>
                </c:pt>
                <c:pt idx="1">
                  <c:v>0.28999999999999998</c:v>
                </c:pt>
                <c:pt idx="2">
                  <c:v>0.3</c:v>
                </c:pt>
                <c:pt idx="3">
                  <c:v>0.69</c:v>
                </c:pt>
                <c:pt idx="4">
                  <c:v>0.7</c:v>
                </c:pt>
                <c:pt idx="5">
                  <c:v>1</c:v>
                </c:pt>
              </c:numCache>
            </c:numRef>
          </c:yVal>
          <c:smooth val="0"/>
          <c:extLst>
            <c:ext xmlns:c16="http://schemas.microsoft.com/office/drawing/2014/chart" uri="{C3380CC4-5D6E-409C-BE32-E72D297353CC}">
              <c16:uniqueId val="{00000003-CE4C-44E9-95C7-0C43C1481B90}"/>
            </c:ext>
          </c:extLst>
        </c:ser>
        <c:dLbls>
          <c:showLegendKey val="0"/>
          <c:showVal val="0"/>
          <c:showCatName val="0"/>
          <c:showSerName val="0"/>
          <c:showPercent val="0"/>
          <c:showBubbleSize val="0"/>
        </c:dLbls>
        <c:axId val="443217136"/>
        <c:axId val="443220664"/>
      </c:scatterChart>
      <c:valAx>
        <c:axId val="443217136"/>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(Unitless</a:t>
                </a:r>
                <a:r>
                  <a:rPr lang="en-US" sz="1100" baseline="0"/>
                  <a:t>)</a:t>
                </a:r>
                <a:endParaRPr lang="en-US" sz="1100"/>
              </a:p>
            </c:rich>
          </c:tx>
          <c:overlay val="0"/>
          <c:spPr>
            <a:noFill/>
            <a:ln>
              <a:noFill/>
            </a:ln>
            <a:effectLst/>
          </c:spPr>
        </c:title>
        <c:numFmt formatCode="0" sourceLinked="0"/>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43220664"/>
        <c:crosses val="autoZero"/>
        <c:crossBetween val="midCat"/>
      </c:valAx>
      <c:valAx>
        <c:axId val="443220664"/>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b="0" i="0" baseline="0">
                    <a:effectLst/>
                  </a:rPr>
                  <a:t>Index Value</a:t>
                </a:r>
                <a:endParaRPr lang="en-US" sz="1100">
                  <a:effectLst/>
                </a:endParaRPr>
              </a:p>
            </c:rich>
          </c:tx>
          <c:overlay val="0"/>
          <c:spPr>
            <a:noFill/>
            <a:ln>
              <a:noFill/>
            </a:ln>
            <a:effectLst/>
          </c:sp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43217136"/>
        <c:crosses val="autoZero"/>
        <c:crossBetween val="midCat"/>
      </c:valAx>
    </c:plotArea>
    <c:plotVisOnly val="1"/>
    <c:dispBlanksAs val="gap"/>
    <c:showDLblsOverMax val="0"/>
  </c:chart>
  <c:txPr>
    <a:bodyPr/>
    <a:lstStyle/>
    <a:p>
      <a:pPr>
        <a:defRPr/>
      </a:pPr>
      <a:endParaRPr lang="en-US"/>
    </a:p>
  </c:txPr>
  <c:printSettings>
    <c:headerFooter/>
    <c:pageMargins b="0.75" l="0.7" r="0.7" t="0.75" header="0.3" footer="0.3"/>
    <c:pageSetup/>
  </c:printSettings>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Concentrated</a:t>
            </a:r>
            <a:r>
              <a:rPr lang="en-US" baseline="0"/>
              <a:t> Flow Points</a:t>
            </a:r>
            <a:endParaRPr lang="en-US"/>
          </a:p>
        </c:rich>
      </c:tx>
      <c:overlay val="0"/>
      <c:spPr>
        <a:noFill/>
        <a:ln>
          <a:noFill/>
        </a:ln>
        <a:effectLst/>
      </c:spPr>
    </c:title>
    <c:autoTitleDeleted val="0"/>
    <c:plotArea>
      <c:layout/>
      <c:scatterChart>
        <c:scatterStyle val="lineMarker"/>
        <c:varyColors val="0"/>
        <c:ser>
          <c:idx val="0"/>
          <c:order val="0"/>
          <c:spPr>
            <a:ln w="25400">
              <a:noFill/>
            </a:ln>
          </c:spPr>
          <c:trendline>
            <c:spPr>
              <a:ln w="19050" cap="rnd">
                <a:solidFill>
                  <a:schemeClr val="accent1"/>
                </a:solidFill>
                <a:prstDash val="sysDot"/>
              </a:ln>
              <a:effectLst/>
            </c:spPr>
            <c:trendlineType val="linear"/>
            <c:forward val="3"/>
            <c:dispRSqr val="0"/>
            <c:dispEq val="1"/>
            <c:trendlineLbl>
              <c:layout>
                <c:manualLayout>
                  <c:x val="-0.26191433554702337"/>
                  <c:y val="-0.47268173029698579"/>
                </c:manualLayout>
              </c:layout>
              <c:numFmt formatCode="#,##0.000"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Curves'!$C$44:$H$44</c:f>
              <c:numCache>
                <c:formatCode>General</c:formatCode>
                <c:ptCount val="6"/>
                <c:pt idx="4" formatCode="0.0">
                  <c:v>1</c:v>
                </c:pt>
                <c:pt idx="5" formatCode="0.0">
                  <c:v>0</c:v>
                </c:pt>
              </c:numCache>
            </c:numRef>
          </c:xVal>
          <c:yVal>
            <c:numRef>
              <c:f>'Reference Curves'!$C$45:$H$45</c:f>
              <c:numCache>
                <c:formatCode>0.00</c:formatCode>
                <c:ptCount val="6"/>
                <c:pt idx="0">
                  <c:v>0</c:v>
                </c:pt>
                <c:pt idx="1">
                  <c:v>0.28999999999999998</c:v>
                </c:pt>
                <c:pt idx="2">
                  <c:v>0.3</c:v>
                </c:pt>
                <c:pt idx="3">
                  <c:v>0.69</c:v>
                </c:pt>
                <c:pt idx="4">
                  <c:v>0.7</c:v>
                </c:pt>
                <c:pt idx="5">
                  <c:v>1</c:v>
                </c:pt>
              </c:numCache>
            </c:numRef>
          </c:yVal>
          <c:smooth val="0"/>
          <c:extLst>
            <c:ext xmlns:c16="http://schemas.microsoft.com/office/drawing/2014/chart" uri="{C3380CC4-5D6E-409C-BE32-E72D297353CC}">
              <c16:uniqueId val="{00000005-46A8-44D9-9F1B-804EEB2DC963}"/>
            </c:ext>
          </c:extLst>
        </c:ser>
        <c:dLbls>
          <c:showLegendKey val="0"/>
          <c:showVal val="0"/>
          <c:showCatName val="0"/>
          <c:showSerName val="0"/>
          <c:showPercent val="0"/>
          <c:showBubbleSize val="0"/>
        </c:dLbls>
        <c:axId val="443217136"/>
        <c:axId val="443220664"/>
      </c:scatterChart>
      <c:valAx>
        <c:axId val="443217136"/>
        <c:scaling>
          <c:orientation val="minMax"/>
          <c:max val="4"/>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 Points per 1,000 feet)</a:t>
                </a:r>
              </a:p>
            </c:rich>
          </c:tx>
          <c:overlay val="0"/>
          <c:spPr>
            <a:noFill/>
            <a:ln>
              <a:noFill/>
            </a:ln>
            <a:effectLst/>
          </c:sp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43220664"/>
        <c:crosses val="autoZero"/>
        <c:crossBetween val="midCat"/>
      </c:valAx>
      <c:valAx>
        <c:axId val="443220664"/>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b="0" i="0" baseline="0">
                    <a:effectLst/>
                  </a:rPr>
                  <a:t>Index Value</a:t>
                </a:r>
                <a:endParaRPr lang="en-US" sz="1100">
                  <a:effectLst/>
                </a:endParaRPr>
              </a:p>
            </c:rich>
          </c:tx>
          <c:overlay val="0"/>
          <c:spPr>
            <a:noFill/>
            <a:ln>
              <a:noFill/>
            </a:ln>
            <a:effectLst/>
          </c:sp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43217136"/>
        <c:crosses val="autoZero"/>
        <c:crossBetween val="midCat"/>
      </c:valAx>
    </c:plotArea>
    <c:plotVisOnly val="1"/>
    <c:dispBlanksAs val="gap"/>
    <c:showDLblsOverMax val="0"/>
  </c:chart>
  <c:txPr>
    <a:bodyPr/>
    <a:lstStyle/>
    <a:p>
      <a:pPr>
        <a:defRPr/>
      </a:pPr>
      <a:endParaRPr lang="en-US"/>
    </a:p>
  </c:txPr>
  <c:printSettings>
    <c:headerFooter/>
    <c:pageMargins b="0.75" l="0.7" r="0.7" t="0.75" header="0.3" footer="0.3"/>
    <c:pageSetup/>
  </c:printSettings>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Buffer Width - Multi-Family</a:t>
            </a:r>
            <a:r>
              <a:rPr lang="en-US" baseline="0"/>
              <a:t> Residential</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309972382662176"/>
          <c:y val="0.10697570056442131"/>
          <c:w val="0.72776881033942953"/>
          <c:h val="0.76142236078587944"/>
        </c:manualLayout>
      </c:layout>
      <c:scatterChart>
        <c:scatterStyle val="lineMarker"/>
        <c:varyColors val="0"/>
        <c:ser>
          <c:idx val="0"/>
          <c:order val="0"/>
          <c:tx>
            <c:strRef>
              <c:f>'Reference Curves'!$T$216</c:f>
              <c:strCache>
                <c:ptCount val="1"/>
                <c:pt idx="0">
                  <c:v>Buffer slope &lt; 5% </c:v>
                </c:pt>
              </c:strCache>
            </c:strRef>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og"/>
            <c:dispRSqr val="1"/>
            <c:dispEq val="1"/>
            <c:trendlineLbl>
              <c:layout>
                <c:manualLayout>
                  <c:x val="-0.54505420421658257"/>
                  <c:y val="8.5648724457825023E-2"/>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trendline>
            <c:spPr>
              <a:ln w="19050" cap="rnd">
                <a:solidFill>
                  <a:schemeClr val="accent1"/>
                </a:solidFill>
                <a:prstDash val="sysDot"/>
              </a:ln>
              <a:effectLst/>
            </c:spPr>
            <c:trendlineType val="log"/>
            <c:dispRSqr val="0"/>
            <c:dispEq val="1"/>
            <c:trendlineLbl>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trendline>
            <c:spPr>
              <a:ln w="19050" cap="rnd">
                <a:solidFill>
                  <a:schemeClr val="accent1"/>
                </a:solidFill>
                <a:prstDash val="sysDot"/>
              </a:ln>
              <a:effectLst/>
            </c:spPr>
            <c:trendlineType val="log"/>
            <c:dispRSqr val="0"/>
            <c:dispEq val="1"/>
            <c:trendlineLbl>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trendline>
            <c:spPr>
              <a:ln w="19050" cap="rnd">
                <a:solidFill>
                  <a:schemeClr val="accent1">
                    <a:lumMod val="75000"/>
                  </a:schemeClr>
                </a:solidFill>
                <a:prstDash val="sysDot"/>
              </a:ln>
              <a:effectLst/>
            </c:spPr>
            <c:trendlineType val="linear"/>
            <c:dispRSqr val="0"/>
            <c:dispEq val="1"/>
            <c:trendlineLbl>
              <c:layout>
                <c:manualLayout>
                  <c:x val="-8.2940866279401489E-4"/>
                  <c:y val="2.8629171359200921E-2"/>
                </c:manualLayout>
              </c:layout>
              <c:numFmt formatCode="#,##0.0000" sourceLinked="0"/>
              <c:spPr>
                <a:noFill/>
                <a:ln>
                  <a:noFill/>
                </a:ln>
                <a:effectLst/>
              </c:spPr>
              <c:txPr>
                <a:bodyPr rot="0" spcFirstLastPara="1" vertOverflow="ellipsis" vert="horz" wrap="square" anchor="ctr" anchorCtr="1"/>
                <a:lstStyle/>
                <a:p>
                  <a:pPr>
                    <a:defRPr sz="1100" b="0" i="0" u="none" strike="noStrike" kern="1200" baseline="0">
                      <a:solidFill>
                        <a:schemeClr val="accent1">
                          <a:lumMod val="75000"/>
                        </a:schemeClr>
                      </a:solidFill>
                      <a:latin typeface="+mn-lt"/>
                      <a:ea typeface="+mn-ea"/>
                      <a:cs typeface="+mn-cs"/>
                    </a:defRPr>
                  </a:pPr>
                  <a:endParaRPr lang="en-US"/>
                </a:p>
              </c:txPr>
            </c:trendlineLbl>
          </c:trendline>
          <c:xVal>
            <c:numRef>
              <c:f>'Reference Curves'!$U$216:$Y$216</c:f>
              <c:numCache>
                <c:formatCode>General</c:formatCode>
                <c:ptCount val="5"/>
                <c:pt idx="0">
                  <c:v>0</c:v>
                </c:pt>
                <c:pt idx="4">
                  <c:v>60</c:v>
                </c:pt>
              </c:numCache>
            </c:numRef>
          </c:xVal>
          <c:yVal>
            <c:numRef>
              <c:f>'Reference Curves'!$U$220:$Y$220</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4-E351-402D-B805-0A4BF058FE72}"/>
            </c:ext>
          </c:extLst>
        </c:ser>
        <c:ser>
          <c:idx val="1"/>
          <c:order val="1"/>
          <c:tx>
            <c:strRef>
              <c:f>'Reference Curves'!$T$216</c:f>
              <c:strCache>
                <c:ptCount val="1"/>
                <c:pt idx="0">
                  <c:v>Buffer slope &lt; 5% </c:v>
                </c:pt>
              </c:strCache>
            </c:strRef>
          </c:tx>
          <c:spPr>
            <a:ln w="25400" cap="rnd">
              <a:noFill/>
              <a:round/>
            </a:ln>
            <a:effectLst/>
          </c:spPr>
          <c:marker>
            <c:symbol val="circle"/>
            <c:size val="5"/>
            <c:spPr>
              <a:solidFill>
                <a:schemeClr val="accent1">
                  <a:lumMod val="75000"/>
                </a:schemeClr>
              </a:solidFill>
              <a:ln w="9525">
                <a:noFill/>
              </a:ln>
              <a:effectLst/>
            </c:spPr>
          </c:marker>
          <c:trendline>
            <c:spPr>
              <a:ln w="19050" cap="rnd">
                <a:solidFill>
                  <a:srgbClr val="00B0F0"/>
                </a:solidFill>
                <a:prstDash val="sysDot"/>
              </a:ln>
              <a:effectLst/>
            </c:spPr>
            <c:trendlineType val="linear"/>
            <c:dispRSqr val="0"/>
            <c:dispEq val="1"/>
            <c:trendlineLbl>
              <c:layout>
                <c:manualLayout>
                  <c:x val="-0.27937453203652818"/>
                  <c:y val="6.8961687799819718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rgbClr val="00B0F0"/>
                      </a:solidFill>
                      <a:latin typeface="+mn-lt"/>
                      <a:ea typeface="+mn-ea"/>
                      <a:cs typeface="+mn-cs"/>
                    </a:defRPr>
                  </a:pPr>
                  <a:endParaRPr lang="en-US"/>
                </a:p>
              </c:txPr>
            </c:trendlineLbl>
          </c:trendline>
          <c:xVal>
            <c:numRef>
              <c:f>'Reference Curves'!$Y$216:$Z$216</c:f>
              <c:numCache>
                <c:formatCode>General</c:formatCode>
                <c:ptCount val="2"/>
                <c:pt idx="0">
                  <c:v>60</c:v>
                </c:pt>
                <c:pt idx="1">
                  <c:v>300</c:v>
                </c:pt>
              </c:numCache>
            </c:numRef>
          </c:xVal>
          <c:yVal>
            <c:numRef>
              <c:f>'Reference Curves'!$Y$220:$Z$220</c:f>
              <c:numCache>
                <c:formatCode>0.00</c:formatCode>
                <c:ptCount val="2"/>
                <c:pt idx="0">
                  <c:v>0.7</c:v>
                </c:pt>
                <c:pt idx="1">
                  <c:v>1</c:v>
                </c:pt>
              </c:numCache>
            </c:numRef>
          </c:yVal>
          <c:smooth val="0"/>
          <c:extLst xmlns:c15="http://schemas.microsoft.com/office/drawing/2012/chart">
            <c:ext xmlns:c16="http://schemas.microsoft.com/office/drawing/2014/chart" uri="{C3380CC4-5D6E-409C-BE32-E72D297353CC}">
              <c16:uniqueId val="{00000006-E351-402D-B805-0A4BF058FE72}"/>
            </c:ext>
          </c:extLst>
        </c:ser>
        <c:ser>
          <c:idx val="2"/>
          <c:order val="2"/>
          <c:tx>
            <c:strRef>
              <c:f>'Reference Curves'!$T$217</c:f>
              <c:strCache>
                <c:ptCount val="1"/>
                <c:pt idx="0">
                  <c:v>Buffer slope 5-20%</c:v>
                </c:pt>
              </c:strCache>
            </c:strRef>
          </c:tx>
          <c:spPr>
            <a:ln w="25400" cap="rnd">
              <a:noFill/>
              <a:round/>
            </a:ln>
            <a:effectLst/>
          </c:spPr>
          <c:marker>
            <c:symbol val="circle"/>
            <c:size val="5"/>
            <c:spPr>
              <a:solidFill>
                <a:schemeClr val="accent3"/>
              </a:solidFill>
              <a:ln w="9525">
                <a:solidFill>
                  <a:schemeClr val="accent3"/>
                </a:solidFill>
              </a:ln>
              <a:effectLst/>
            </c:spPr>
          </c:marker>
          <c:trendline>
            <c:spPr>
              <a:ln w="19050" cap="rnd">
                <a:solidFill>
                  <a:schemeClr val="bg2">
                    <a:lumMod val="75000"/>
                  </a:schemeClr>
                </a:solidFill>
                <a:prstDash val="sysDot"/>
              </a:ln>
              <a:effectLst/>
            </c:spPr>
            <c:trendlineType val="linear"/>
            <c:dispRSqr val="0"/>
            <c:dispEq val="1"/>
            <c:trendlineLbl>
              <c:layout>
                <c:manualLayout>
                  <c:x val="6.3604731564712363E-3"/>
                  <c:y val="0.14111373113305989"/>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bg2">
                          <a:lumMod val="75000"/>
                        </a:schemeClr>
                      </a:solidFill>
                      <a:latin typeface="+mn-lt"/>
                      <a:ea typeface="+mn-ea"/>
                      <a:cs typeface="+mn-cs"/>
                    </a:defRPr>
                  </a:pPr>
                  <a:endParaRPr lang="en-US"/>
                </a:p>
              </c:txPr>
            </c:trendlineLbl>
          </c:trendline>
          <c:xVal>
            <c:numRef>
              <c:f>'Reference Curves'!$U$217:$Y$217</c:f>
              <c:numCache>
                <c:formatCode>General</c:formatCode>
                <c:ptCount val="5"/>
                <c:pt idx="0">
                  <c:v>0</c:v>
                </c:pt>
                <c:pt idx="4">
                  <c:v>120</c:v>
                </c:pt>
              </c:numCache>
            </c:numRef>
          </c:xVal>
          <c:yVal>
            <c:numRef>
              <c:f>'Reference Curves'!$U$220:$Y$220</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6-FC05-4423-83B5-A9F2C554A508}"/>
            </c:ext>
          </c:extLst>
        </c:ser>
        <c:ser>
          <c:idx val="3"/>
          <c:order val="3"/>
          <c:tx>
            <c:strRef>
              <c:f>'Reference Curves'!$T$217</c:f>
              <c:strCache>
                <c:ptCount val="1"/>
                <c:pt idx="0">
                  <c:v>Buffer slope 5-20%</c:v>
                </c:pt>
              </c:strCache>
            </c:strRef>
          </c:tx>
          <c:spPr>
            <a:ln w="25400" cap="rnd">
              <a:noFill/>
              <a:round/>
            </a:ln>
            <a:effectLst/>
          </c:spPr>
          <c:marker>
            <c:symbol val="circle"/>
            <c:size val="5"/>
            <c:spPr>
              <a:solidFill>
                <a:schemeClr val="bg2">
                  <a:lumMod val="25000"/>
                </a:schemeClr>
              </a:solidFill>
              <a:ln w="9525">
                <a:noFill/>
              </a:ln>
              <a:effectLst/>
            </c:spPr>
          </c:marker>
          <c:trendline>
            <c:spPr>
              <a:ln w="19050" cap="rnd">
                <a:solidFill>
                  <a:schemeClr val="bg2">
                    <a:lumMod val="25000"/>
                  </a:schemeClr>
                </a:solidFill>
                <a:prstDash val="sysDot"/>
              </a:ln>
              <a:effectLst/>
            </c:spPr>
            <c:trendlineType val="linear"/>
            <c:dispRSqr val="0"/>
            <c:dispEq val="1"/>
            <c:trendlineLbl>
              <c:layout>
                <c:manualLayout>
                  <c:x val="-0.11096894748452565"/>
                  <c:y val="-8.9122381974672919E-3"/>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bg2">
                          <a:lumMod val="25000"/>
                        </a:schemeClr>
                      </a:solidFill>
                      <a:latin typeface="+mn-lt"/>
                      <a:ea typeface="+mn-ea"/>
                      <a:cs typeface="+mn-cs"/>
                    </a:defRPr>
                  </a:pPr>
                  <a:endParaRPr lang="en-US"/>
                </a:p>
              </c:txPr>
            </c:trendlineLbl>
          </c:trendline>
          <c:xVal>
            <c:numRef>
              <c:f>'Reference Curves'!$Y$217:$Z$217</c:f>
              <c:numCache>
                <c:formatCode>General</c:formatCode>
                <c:ptCount val="2"/>
                <c:pt idx="0">
                  <c:v>120</c:v>
                </c:pt>
                <c:pt idx="1">
                  <c:v>300</c:v>
                </c:pt>
              </c:numCache>
            </c:numRef>
          </c:xVal>
          <c:yVal>
            <c:numRef>
              <c:f>'Reference Curves'!$Y$220:$Z$220</c:f>
              <c:numCache>
                <c:formatCode>0.00</c:formatCode>
                <c:ptCount val="2"/>
                <c:pt idx="0">
                  <c:v>0.7</c:v>
                </c:pt>
                <c:pt idx="1">
                  <c:v>1</c:v>
                </c:pt>
              </c:numCache>
            </c:numRef>
          </c:yVal>
          <c:smooth val="0"/>
          <c:extLst>
            <c:ext xmlns:c16="http://schemas.microsoft.com/office/drawing/2014/chart" uri="{C3380CC4-5D6E-409C-BE32-E72D297353CC}">
              <c16:uniqueId val="{00000007-FC05-4423-83B5-A9F2C554A508}"/>
            </c:ext>
          </c:extLst>
        </c:ser>
        <c:ser>
          <c:idx val="4"/>
          <c:order val="4"/>
          <c:tx>
            <c:strRef>
              <c:f>'Reference Curves'!$T$218</c:f>
              <c:strCache>
                <c:ptCount val="1"/>
                <c:pt idx="0">
                  <c:v>Buffer slope 21-40% </c:v>
                </c:pt>
              </c:strCache>
            </c:strRef>
          </c:tx>
          <c:spPr>
            <a:ln w="25400" cap="rnd">
              <a:noFill/>
              <a:round/>
            </a:ln>
            <a:effectLst/>
          </c:spPr>
          <c:marker>
            <c:symbol val="circle"/>
            <c:size val="5"/>
            <c:spPr>
              <a:solidFill>
                <a:schemeClr val="accent6">
                  <a:lumMod val="75000"/>
                </a:schemeClr>
              </a:solidFill>
              <a:ln w="9525">
                <a:noFill/>
              </a:ln>
              <a:effectLst/>
            </c:spPr>
          </c:marker>
          <c:trendline>
            <c:spPr>
              <a:ln w="19050" cap="rnd">
                <a:solidFill>
                  <a:schemeClr val="accent6">
                    <a:lumMod val="75000"/>
                  </a:schemeClr>
                </a:solidFill>
                <a:prstDash val="sysDot"/>
              </a:ln>
              <a:effectLst/>
            </c:spPr>
            <c:trendlineType val="linear"/>
            <c:dispRSqr val="0"/>
            <c:dispEq val="1"/>
            <c:trendlineLbl>
              <c:layout>
                <c:manualLayout>
                  <c:x val="2.7189560943308697E-2"/>
                  <c:y val="0.32794642891613984"/>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6">
                          <a:lumMod val="75000"/>
                        </a:schemeClr>
                      </a:solidFill>
                      <a:latin typeface="+mn-lt"/>
                      <a:ea typeface="+mn-ea"/>
                      <a:cs typeface="+mn-cs"/>
                    </a:defRPr>
                  </a:pPr>
                  <a:endParaRPr lang="en-US"/>
                </a:p>
              </c:txPr>
            </c:trendlineLbl>
          </c:trendline>
          <c:xVal>
            <c:numRef>
              <c:f>'Reference Curves'!$U$218:$Y$218</c:f>
              <c:numCache>
                <c:formatCode>General</c:formatCode>
                <c:ptCount val="5"/>
                <c:pt idx="0">
                  <c:v>0</c:v>
                </c:pt>
                <c:pt idx="4">
                  <c:v>180</c:v>
                </c:pt>
              </c:numCache>
            </c:numRef>
          </c:xVal>
          <c:yVal>
            <c:numRef>
              <c:f>'Reference Curves'!$U$220:$Y$220</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A-0F28-4188-AF5A-EDA94A909C75}"/>
            </c:ext>
          </c:extLst>
        </c:ser>
        <c:ser>
          <c:idx val="5"/>
          <c:order val="5"/>
          <c:tx>
            <c:strRef>
              <c:f>'Reference Curves'!$T$218</c:f>
              <c:strCache>
                <c:ptCount val="1"/>
                <c:pt idx="0">
                  <c:v>Buffer slope 21-40% </c:v>
                </c:pt>
              </c:strCache>
            </c:strRef>
          </c:tx>
          <c:spPr>
            <a:ln w="25400" cap="rnd">
              <a:noFill/>
              <a:round/>
            </a:ln>
            <a:effectLst/>
          </c:spPr>
          <c:marker>
            <c:symbol val="circle"/>
            <c:size val="5"/>
            <c:spPr>
              <a:solidFill>
                <a:srgbClr val="00B050"/>
              </a:solidFill>
              <a:ln w="9525">
                <a:solidFill>
                  <a:schemeClr val="accent6"/>
                </a:solidFill>
              </a:ln>
              <a:effectLst/>
            </c:spPr>
          </c:marker>
          <c:trendline>
            <c:spPr>
              <a:ln w="19050" cap="rnd">
                <a:solidFill>
                  <a:srgbClr val="00B050"/>
                </a:solidFill>
                <a:prstDash val="sysDot"/>
              </a:ln>
              <a:effectLst/>
            </c:spPr>
            <c:trendlineType val="linear"/>
            <c:dispRSqr val="0"/>
            <c:dispEq val="1"/>
            <c:trendlineLbl>
              <c:layout>
                <c:manualLayout>
                  <c:x val="6.5001651363489565E-2"/>
                  <c:y val="0.19875156446196476"/>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rgbClr val="00B050"/>
                      </a:solidFill>
                      <a:latin typeface="+mn-lt"/>
                      <a:ea typeface="+mn-ea"/>
                      <a:cs typeface="+mn-cs"/>
                    </a:defRPr>
                  </a:pPr>
                  <a:endParaRPr lang="en-US"/>
                </a:p>
              </c:txPr>
            </c:trendlineLbl>
          </c:trendline>
          <c:xVal>
            <c:numRef>
              <c:f>'Reference Curves'!$Y$218:$Z$218</c:f>
              <c:numCache>
                <c:formatCode>General</c:formatCode>
                <c:ptCount val="2"/>
                <c:pt idx="0">
                  <c:v>180</c:v>
                </c:pt>
                <c:pt idx="1">
                  <c:v>300</c:v>
                </c:pt>
              </c:numCache>
            </c:numRef>
          </c:xVal>
          <c:yVal>
            <c:numRef>
              <c:f>'Reference Curves'!$Y$220:$Z$220</c:f>
              <c:numCache>
                <c:formatCode>0.00</c:formatCode>
                <c:ptCount val="2"/>
                <c:pt idx="0">
                  <c:v>0.7</c:v>
                </c:pt>
                <c:pt idx="1">
                  <c:v>1</c:v>
                </c:pt>
              </c:numCache>
            </c:numRef>
          </c:yVal>
          <c:smooth val="0"/>
          <c:extLst>
            <c:ext xmlns:c16="http://schemas.microsoft.com/office/drawing/2014/chart" uri="{C3380CC4-5D6E-409C-BE32-E72D297353CC}">
              <c16:uniqueId val="{0000000C-0F28-4188-AF5A-EDA94A909C75}"/>
            </c:ext>
          </c:extLst>
        </c:ser>
        <c:ser>
          <c:idx val="6"/>
          <c:order val="6"/>
          <c:tx>
            <c:strRef>
              <c:f>'Reference Curves'!$T$219</c:f>
              <c:strCache>
                <c:ptCount val="1"/>
                <c:pt idx="0">
                  <c:v>Buffer slope &gt;40% </c:v>
                </c:pt>
              </c:strCache>
            </c:strRef>
          </c:tx>
          <c:spPr>
            <a:ln w="25400" cap="rnd">
              <a:noFill/>
              <a:round/>
            </a:ln>
            <a:effectLst/>
          </c:spPr>
          <c:marker>
            <c:symbol val="circle"/>
            <c:size val="5"/>
            <c:spPr>
              <a:solidFill>
                <a:srgbClr val="FF0000"/>
              </a:solidFill>
              <a:ln w="9525">
                <a:noFill/>
              </a:ln>
              <a:effectLst/>
            </c:spPr>
          </c:marker>
          <c:trendline>
            <c:spPr>
              <a:ln w="19050" cap="rnd">
                <a:solidFill>
                  <a:srgbClr val="FF0000"/>
                </a:solidFill>
                <a:prstDash val="sysDot"/>
              </a:ln>
              <a:effectLst/>
            </c:spPr>
            <c:trendlineType val="linear"/>
            <c:forward val="120"/>
            <c:dispRSqr val="0"/>
            <c:dispEq val="1"/>
            <c:trendlineLbl>
              <c:layout>
                <c:manualLayout>
                  <c:x val="-0.20586668394149632"/>
                  <c:y val="0.3256572216427287"/>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rgbClr val="FF0000"/>
                      </a:solidFill>
                      <a:latin typeface="+mn-lt"/>
                      <a:ea typeface="+mn-ea"/>
                      <a:cs typeface="+mn-cs"/>
                    </a:defRPr>
                  </a:pPr>
                  <a:endParaRPr lang="en-US"/>
                </a:p>
              </c:txPr>
            </c:trendlineLbl>
          </c:trendline>
          <c:xVal>
            <c:numRef>
              <c:f>'Reference Curves'!$U$219:$Y$219</c:f>
              <c:numCache>
                <c:formatCode>General</c:formatCode>
                <c:ptCount val="5"/>
                <c:pt idx="0">
                  <c:v>0</c:v>
                </c:pt>
                <c:pt idx="4">
                  <c:v>240</c:v>
                </c:pt>
              </c:numCache>
            </c:numRef>
          </c:xVal>
          <c:yVal>
            <c:numRef>
              <c:f>'Reference Curves'!$U$220:$Y$220</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E-0F28-4188-AF5A-EDA94A909C75}"/>
            </c:ext>
          </c:extLst>
        </c:ser>
        <c:dLbls>
          <c:showLegendKey val="0"/>
          <c:showVal val="0"/>
          <c:showCatName val="0"/>
          <c:showSerName val="0"/>
          <c:showPercent val="0"/>
          <c:showBubbleSize val="0"/>
        </c:dLbls>
        <c:axId val="388311608"/>
        <c:axId val="388306120"/>
        <c:extLst/>
      </c:scatterChart>
      <c:valAx>
        <c:axId val="388311608"/>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(ft)</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8306120"/>
        <c:crosses val="autoZero"/>
        <c:crossBetween val="midCat"/>
      </c:valAx>
      <c:valAx>
        <c:axId val="388306120"/>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8311608"/>
        <c:crosses val="autoZero"/>
        <c:crossBetween val="midCat"/>
      </c:valAx>
      <c:spPr>
        <a:noFill/>
        <a:ln>
          <a:noFill/>
        </a:ln>
        <a:effectLst/>
      </c:spPr>
    </c:plotArea>
    <c:legend>
      <c:legendPos val="r"/>
      <c:legendEntry>
        <c:idx val="7"/>
        <c:delete val="1"/>
      </c:legendEntry>
      <c:legendEntry>
        <c:idx val="8"/>
        <c:delete val="1"/>
      </c:legendEntry>
      <c:legendEntry>
        <c:idx val="9"/>
        <c:delete val="1"/>
      </c:legendEntry>
      <c:layout>
        <c:manualLayout>
          <c:xMode val="edge"/>
          <c:yMode val="edge"/>
          <c:x val="0.74672726792694044"/>
          <c:y val="0.10084275984830368"/>
          <c:w val="0.24147814678275156"/>
          <c:h val="0.68140162165808105"/>
        </c:manualLayout>
      </c:layout>
      <c:overlay val="0"/>
      <c:spPr>
        <a:solidFill>
          <a:schemeClr val="bg1"/>
        </a:solid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LWD Piece</a:t>
            </a:r>
            <a:r>
              <a:rPr lang="en-US" baseline="0"/>
              <a:t> Count</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strRef>
              <c:f>'Reference Curves'!$U$48</c:f>
              <c:strCache>
                <c:ptCount val="1"/>
                <c:pt idx="0">
                  <c:v>NF &amp; FAR</c:v>
                </c:pt>
              </c:strCache>
            </c:strRef>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poly"/>
            <c:order val="2"/>
            <c:dispRSqr val="0"/>
            <c:dispEq val="1"/>
            <c:trendlineLbl>
              <c:layout>
                <c:manualLayout>
                  <c:x val="2.896008093900259E-2"/>
                  <c:y val="0.27217003846308929"/>
                </c:manualLayout>
              </c:layout>
              <c:numFmt formatCode="#,##0.0000"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Curves'!$U$44:$Y$44</c:f>
              <c:numCache>
                <c:formatCode>General</c:formatCode>
                <c:ptCount val="5"/>
                <c:pt idx="0">
                  <c:v>0</c:v>
                </c:pt>
                <c:pt idx="4">
                  <c:v>16</c:v>
                </c:pt>
              </c:numCache>
            </c:numRef>
          </c:xVal>
          <c:yVal>
            <c:numRef>
              <c:f>'Reference Curves'!$U$45:$Y$45</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1-7F2C-40ED-B2D8-6F5885A10BE3}"/>
            </c:ext>
          </c:extLst>
        </c:ser>
        <c:ser>
          <c:idx val="1"/>
          <c:order val="1"/>
          <c:tx>
            <c:strRef>
              <c:f>'Reference Curves'!$V$48</c:f>
              <c:strCache>
                <c:ptCount val="1"/>
                <c:pt idx="0">
                  <c:v>F</c:v>
                </c:pt>
              </c:strCache>
            </c:strRef>
          </c:tx>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6.1591536057919189E-3"/>
                  <c:y val="0.17337287320991837"/>
                </c:manualLayout>
              </c:layout>
              <c:numFmt formatCode="#,##0.0000"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Curves'!$X$44:$Z$44</c:f>
              <c:numCache>
                <c:formatCode>General</c:formatCode>
                <c:ptCount val="3"/>
                <c:pt idx="1">
                  <c:v>16</c:v>
                </c:pt>
                <c:pt idx="2">
                  <c:v>28</c:v>
                </c:pt>
              </c:numCache>
            </c:numRef>
          </c:xVal>
          <c:yVal>
            <c:numRef>
              <c:f>'Reference Curves'!$X$45:$Z$45</c:f>
              <c:numCache>
                <c:formatCode>0.00</c:formatCode>
                <c:ptCount val="3"/>
                <c:pt idx="0">
                  <c:v>0.69</c:v>
                </c:pt>
                <c:pt idx="1">
                  <c:v>0.7</c:v>
                </c:pt>
                <c:pt idx="2">
                  <c:v>1</c:v>
                </c:pt>
              </c:numCache>
            </c:numRef>
          </c:yVal>
          <c:smooth val="0"/>
          <c:extLst>
            <c:ext xmlns:c16="http://schemas.microsoft.com/office/drawing/2014/chart" uri="{C3380CC4-5D6E-409C-BE32-E72D297353CC}">
              <c16:uniqueId val="{00000003-7F2C-40ED-B2D8-6F5885A10BE3}"/>
            </c:ext>
          </c:extLst>
        </c:ser>
        <c:dLbls>
          <c:showLegendKey val="0"/>
          <c:showVal val="0"/>
          <c:showCatName val="0"/>
          <c:showSerName val="0"/>
          <c:showPercent val="0"/>
          <c:showBubbleSize val="0"/>
        </c:dLbls>
        <c:axId val="388304160"/>
        <c:axId val="388312392"/>
      </c:scatterChart>
      <c:valAx>
        <c:axId val="388304160"/>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(#/100m)</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8312392"/>
        <c:crosses val="autoZero"/>
        <c:crossBetween val="midCat"/>
      </c:valAx>
      <c:valAx>
        <c:axId val="388312392"/>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8304160"/>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Riparian</a:t>
            </a:r>
            <a:r>
              <a:rPr lang="en-US" baseline="0"/>
              <a:t> Vegetation Density</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1"/>
            <c:dispEq val="1"/>
            <c:trendlineLbl>
              <c:layout>
                <c:manualLayout>
                  <c:x val="-0.62154362696391308"/>
                  <c:y val="8.692740728762538E-2"/>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xVal>
            <c:numRef>
              <c:f>'Performance Stds'!#REF!</c:f>
            </c:numRef>
          </c:xVal>
          <c:yVal>
            <c:numRef>
              <c:f>'Performance Stds'!#REF!</c:f>
              <c:numCache>
                <c:formatCode>General</c:formatCode>
                <c:ptCount val="1"/>
                <c:pt idx="0">
                  <c:v>1</c:v>
                </c:pt>
              </c:numCache>
            </c:numRef>
          </c:yVal>
          <c:smooth val="0"/>
          <c:extLst>
            <c:ext xmlns:c16="http://schemas.microsoft.com/office/drawing/2014/chart" uri="{C3380CC4-5D6E-409C-BE32-E72D297353CC}">
              <c16:uniqueId val="{00000001-B613-479D-9800-68A4B4AA2AD1}"/>
            </c:ext>
          </c:extLst>
        </c:ser>
        <c:dLbls>
          <c:showLegendKey val="0"/>
          <c:showVal val="0"/>
          <c:showCatName val="0"/>
          <c:showSerName val="0"/>
          <c:showPercent val="0"/>
          <c:showBubbleSize val="0"/>
        </c:dLbls>
        <c:axId val="442562440"/>
        <c:axId val="442560480"/>
      </c:scatterChart>
      <c:valAx>
        <c:axId val="442562440"/>
        <c:scaling>
          <c:orientation val="minMax"/>
          <c:min val="100"/>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42560480"/>
        <c:crosses val="autoZero"/>
        <c:crossBetween val="midCat"/>
      </c:valAx>
      <c:valAx>
        <c:axId val="442560480"/>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442562440"/>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baseline="0"/>
              <a:t>Percent Streambank Armoring</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1928084387367101"/>
          <c:y val="0.11383995627777838"/>
          <c:w val="0.78710276152185865"/>
          <c:h val="0.73757538467374906"/>
        </c:manualLayout>
      </c:layout>
      <c:scatterChart>
        <c:scatterStyle val="lineMarker"/>
        <c:varyColors val="0"/>
        <c:ser>
          <c:idx val="1"/>
          <c:order val="0"/>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backward val="19"/>
            <c:dispRSqr val="0"/>
            <c:dispEq val="1"/>
            <c:trendlineLbl>
              <c:layout>
                <c:manualLayout>
                  <c:x val="-9.067771678996811E-2"/>
                  <c:y val="-0.378659966769126"/>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Curves'!$U$146:$Z$146</c:f>
              <c:numCache>
                <c:formatCode>General</c:formatCode>
                <c:ptCount val="6"/>
                <c:pt idx="0">
                  <c:v>30</c:v>
                </c:pt>
                <c:pt idx="5">
                  <c:v>0</c:v>
                </c:pt>
              </c:numCache>
            </c:numRef>
          </c:xVal>
          <c:yVal>
            <c:numRef>
              <c:f>'Reference Curves'!$U$147:$Z$147</c:f>
              <c:numCache>
                <c:formatCode>0.00</c:formatCode>
                <c:ptCount val="6"/>
                <c:pt idx="0">
                  <c:v>0</c:v>
                </c:pt>
                <c:pt idx="1">
                  <c:v>0.28999999999999998</c:v>
                </c:pt>
                <c:pt idx="2">
                  <c:v>0.3</c:v>
                </c:pt>
                <c:pt idx="3">
                  <c:v>0.69</c:v>
                </c:pt>
                <c:pt idx="4">
                  <c:v>0.7</c:v>
                </c:pt>
                <c:pt idx="5">
                  <c:v>1</c:v>
                </c:pt>
              </c:numCache>
            </c:numRef>
          </c:yVal>
          <c:smooth val="0"/>
          <c:extLst>
            <c:ext xmlns:c16="http://schemas.microsoft.com/office/drawing/2014/chart" uri="{C3380CC4-5D6E-409C-BE32-E72D297353CC}">
              <c16:uniqueId val="{00000001-4EC9-4B45-8D05-D0B91E44A09E}"/>
            </c:ext>
          </c:extLst>
        </c:ser>
        <c:dLbls>
          <c:showLegendKey val="0"/>
          <c:showVal val="0"/>
          <c:showCatName val="0"/>
          <c:showSerName val="0"/>
          <c:showPercent val="0"/>
          <c:showBubbleSize val="0"/>
        </c:dLbls>
        <c:axId val="443886568"/>
        <c:axId val="443820440"/>
      </c:scatterChart>
      <c:valAx>
        <c:axId val="443886568"/>
        <c:scaling>
          <c:orientation val="minMax"/>
          <c:min val="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crossAx val="443820440"/>
        <c:crosses val="autoZero"/>
        <c:crossBetween val="midCat"/>
      </c:valAx>
      <c:valAx>
        <c:axId val="443820440"/>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crossAx val="443886568"/>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ER</a:t>
            </a:r>
            <a:r>
              <a:rPr lang="en-US" baseline="0"/>
              <a:t> for E Streams</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poly"/>
            <c:order val="2"/>
            <c:dispRSqr val="0"/>
            <c:dispEq val="1"/>
            <c:trendlineLbl>
              <c:layout>
                <c:manualLayout>
                  <c:x val="0.23099610363769624"/>
                  <c:y val="0.11535453288745783"/>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Curves'!$L$77:$P$77</c:f>
              <c:numCache>
                <c:formatCode>0.0</c:formatCode>
                <c:ptCount val="5"/>
                <c:pt idx="0">
                  <c:v>1</c:v>
                </c:pt>
                <c:pt idx="4">
                  <c:v>2.2000000000000002</c:v>
                </c:pt>
              </c:numCache>
            </c:numRef>
          </c:xVal>
          <c:yVal>
            <c:numRef>
              <c:f>'Reference Curves'!$L$78:$P$78</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1-0AC7-47A4-91CB-7F9BB9D3E538}"/>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4.6576083769090969E-2"/>
                  <c:y val="7.8595561160812538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Curves'!$P$77:$Q$77</c:f>
              <c:numCache>
                <c:formatCode>0.0</c:formatCode>
                <c:ptCount val="2"/>
                <c:pt idx="0">
                  <c:v>2.2000000000000002</c:v>
                </c:pt>
                <c:pt idx="1">
                  <c:v>10</c:v>
                </c:pt>
              </c:numCache>
            </c:numRef>
          </c:xVal>
          <c:yVal>
            <c:numRef>
              <c:f>'Reference Curves'!$P$78:$Q$78</c:f>
              <c:numCache>
                <c:formatCode>0.00</c:formatCode>
                <c:ptCount val="2"/>
                <c:pt idx="0">
                  <c:v>0.7</c:v>
                </c:pt>
                <c:pt idx="1">
                  <c:v>1</c:v>
                </c:pt>
              </c:numCache>
            </c:numRef>
          </c:yVal>
          <c:smooth val="0"/>
          <c:extLst>
            <c:ext xmlns:c16="http://schemas.microsoft.com/office/drawing/2014/chart" uri="{C3380CC4-5D6E-409C-BE32-E72D297353CC}">
              <c16:uniqueId val="{00000003-0AC7-47A4-91CB-7F9BB9D3E538}"/>
            </c:ext>
          </c:extLst>
        </c:ser>
        <c:dLbls>
          <c:showLegendKey val="0"/>
          <c:showVal val="0"/>
          <c:showCatName val="0"/>
          <c:showSerName val="0"/>
          <c:showPercent val="0"/>
          <c:showBubbleSize val="0"/>
        </c:dLbls>
        <c:axId val="363176976"/>
        <c:axId val="363177368"/>
      </c:scatterChart>
      <c:valAx>
        <c:axId val="363176976"/>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(Ratio)</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3177368"/>
        <c:crosses val="autoZero"/>
        <c:crossBetween val="midCat"/>
      </c:valAx>
      <c:valAx>
        <c:axId val="363177368"/>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3176976"/>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Width/Depth Ratio State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1"/>
          <c:order val="0"/>
          <c:tx>
            <c:v>Falling Limb</c:v>
          </c:tx>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4.3162014061453504E-3"/>
                  <c:y val="-0.45737427372096728"/>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Curves'!$L$145:$Q$145</c:f>
              <c:numCache>
                <c:formatCode>0.0</c:formatCode>
                <c:ptCount val="6"/>
                <c:pt idx="0">
                  <c:v>1.8</c:v>
                </c:pt>
                <c:pt idx="5">
                  <c:v>1</c:v>
                </c:pt>
              </c:numCache>
            </c:numRef>
          </c:xVal>
          <c:yVal>
            <c:numRef>
              <c:f>'Reference Curves'!$L$147:$Q$147</c:f>
              <c:numCache>
                <c:formatCode>0.00</c:formatCode>
                <c:ptCount val="6"/>
                <c:pt idx="0">
                  <c:v>0</c:v>
                </c:pt>
                <c:pt idx="1">
                  <c:v>0.28999999999999998</c:v>
                </c:pt>
                <c:pt idx="2">
                  <c:v>0.3</c:v>
                </c:pt>
                <c:pt idx="3">
                  <c:v>0.69</c:v>
                </c:pt>
                <c:pt idx="4">
                  <c:v>0.7</c:v>
                </c:pt>
                <c:pt idx="5">
                  <c:v>1</c:v>
                </c:pt>
              </c:numCache>
            </c:numRef>
          </c:yVal>
          <c:smooth val="0"/>
          <c:extLst>
            <c:ext xmlns:c16="http://schemas.microsoft.com/office/drawing/2014/chart" uri="{C3380CC4-5D6E-409C-BE32-E72D297353CC}">
              <c16:uniqueId val="{00000003-D177-4671-ACE8-ACCE51B15316}"/>
            </c:ext>
          </c:extLst>
        </c:ser>
        <c:ser>
          <c:idx val="0"/>
          <c:order val="1"/>
          <c:tx>
            <c:v>Rising Limb</c:v>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0.15997208224805176"/>
                  <c:y val="6.0529842289235823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Curves'!$L$146:$Q$146</c:f>
              <c:numCache>
                <c:formatCode>0.0</c:formatCode>
                <c:ptCount val="6"/>
                <c:pt idx="0">
                  <c:v>0.2</c:v>
                </c:pt>
                <c:pt idx="5">
                  <c:v>1</c:v>
                </c:pt>
              </c:numCache>
            </c:numRef>
          </c:xVal>
          <c:yVal>
            <c:numRef>
              <c:f>'Reference Curves'!$L$147:$Q$147</c:f>
              <c:numCache>
                <c:formatCode>0.00</c:formatCode>
                <c:ptCount val="6"/>
                <c:pt idx="0">
                  <c:v>0</c:v>
                </c:pt>
                <c:pt idx="1">
                  <c:v>0.28999999999999998</c:v>
                </c:pt>
                <c:pt idx="2">
                  <c:v>0.3</c:v>
                </c:pt>
                <c:pt idx="3">
                  <c:v>0.69</c:v>
                </c:pt>
                <c:pt idx="4">
                  <c:v>0.7</c:v>
                </c:pt>
                <c:pt idx="5">
                  <c:v>1</c:v>
                </c:pt>
              </c:numCache>
            </c:numRef>
          </c:yVal>
          <c:smooth val="0"/>
          <c:extLst>
            <c:ext xmlns:c16="http://schemas.microsoft.com/office/drawing/2014/chart" uri="{C3380CC4-5D6E-409C-BE32-E72D297353CC}">
              <c16:uniqueId val="{00000002-66ED-4EB2-ADC7-F0329CCF0533}"/>
            </c:ext>
          </c:extLst>
        </c:ser>
        <c:dLbls>
          <c:showLegendKey val="0"/>
          <c:showVal val="0"/>
          <c:showCatName val="0"/>
          <c:showSerName val="0"/>
          <c:showPercent val="0"/>
          <c:showBubbleSize val="0"/>
        </c:dLbls>
        <c:axId val="363176192"/>
        <c:axId val="363178936"/>
      </c:scatterChart>
      <c:valAx>
        <c:axId val="363176192"/>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(Ratio)</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3178936"/>
        <c:crosses val="autoZero"/>
        <c:crossBetween val="midCat"/>
      </c:valAx>
      <c:valAx>
        <c:axId val="363178936"/>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3176192"/>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4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Native</a:t>
            </a:r>
            <a:r>
              <a:rPr lang="en-US" baseline="0"/>
              <a:t> S</a:t>
            </a:r>
            <a:r>
              <a:rPr lang="en-US"/>
              <a:t>hrub </a:t>
            </a:r>
            <a:r>
              <a:rPr lang="en-US" baseline="0"/>
              <a:t>Density</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v>Rising Limb</c:v>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poly"/>
            <c:order val="2"/>
            <c:dispRSqr val="0"/>
            <c:dispEq val="1"/>
            <c:trendlineLbl>
              <c:layout>
                <c:manualLayout>
                  <c:x val="-4.4322458968086037E-2"/>
                  <c:y val="0.23057705363204345"/>
                </c:manualLayout>
              </c:layout>
              <c:numFmt formatCode="#,##0.000000"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Curves'!$U$393:$Z$393</c:f>
              <c:numCache>
                <c:formatCode>General</c:formatCode>
                <c:ptCount val="6"/>
                <c:pt idx="0">
                  <c:v>0</c:v>
                </c:pt>
                <c:pt idx="5">
                  <c:v>566</c:v>
                </c:pt>
              </c:numCache>
            </c:numRef>
          </c:xVal>
          <c:yVal>
            <c:numRef>
              <c:f>'Reference Curves'!$U$394:$Z$394</c:f>
              <c:numCache>
                <c:formatCode>0.00</c:formatCode>
                <c:ptCount val="6"/>
                <c:pt idx="0">
                  <c:v>0</c:v>
                </c:pt>
                <c:pt idx="1">
                  <c:v>0.28999999999999998</c:v>
                </c:pt>
                <c:pt idx="2">
                  <c:v>0.3</c:v>
                </c:pt>
                <c:pt idx="3">
                  <c:v>0.69</c:v>
                </c:pt>
                <c:pt idx="4">
                  <c:v>0.7</c:v>
                </c:pt>
                <c:pt idx="5">
                  <c:v>1</c:v>
                </c:pt>
              </c:numCache>
            </c:numRef>
          </c:yVal>
          <c:smooth val="0"/>
          <c:extLst>
            <c:ext xmlns:c16="http://schemas.microsoft.com/office/drawing/2014/chart" uri="{C3380CC4-5D6E-409C-BE32-E72D297353CC}">
              <c16:uniqueId val="{00000001-02FE-4A06-A70A-53A2F53F86D4}"/>
            </c:ext>
          </c:extLst>
        </c:ser>
        <c:dLbls>
          <c:showLegendKey val="0"/>
          <c:showVal val="0"/>
          <c:showCatName val="0"/>
          <c:showSerName val="0"/>
          <c:showPercent val="0"/>
          <c:showBubbleSize val="0"/>
        </c:dLbls>
        <c:axId val="385171208"/>
        <c:axId val="385166896"/>
      </c:scatterChart>
      <c:valAx>
        <c:axId val="385171208"/>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Field Value ( #/Acre)</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166896"/>
        <c:crosses val="autoZero"/>
        <c:crossBetween val="midCat"/>
      </c:valAx>
      <c:valAx>
        <c:axId val="385166896"/>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Index Value</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171208"/>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Native Herbaceous Cover</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v>Rising Limb</c:v>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poly"/>
            <c:order val="2"/>
            <c:dispRSqr val="0"/>
            <c:dispEq val="1"/>
            <c:trendlineLbl>
              <c:layout>
                <c:manualLayout>
                  <c:x val="-4.4322458968086037E-2"/>
                  <c:y val="0.23057705363204345"/>
                </c:manualLayout>
              </c:layout>
              <c:numFmt formatCode="#,##0.000000"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Curves'!$U$428:$Z$428</c:f>
              <c:numCache>
                <c:formatCode>General</c:formatCode>
                <c:ptCount val="6"/>
                <c:pt idx="0">
                  <c:v>0</c:v>
                </c:pt>
                <c:pt idx="5">
                  <c:v>75</c:v>
                </c:pt>
              </c:numCache>
            </c:numRef>
          </c:xVal>
          <c:yVal>
            <c:numRef>
              <c:f>'Reference Curves'!$U$429:$Z$429</c:f>
              <c:numCache>
                <c:formatCode>0.00</c:formatCode>
                <c:ptCount val="6"/>
                <c:pt idx="0">
                  <c:v>0</c:v>
                </c:pt>
                <c:pt idx="1">
                  <c:v>0.28999999999999998</c:v>
                </c:pt>
                <c:pt idx="2">
                  <c:v>0.3</c:v>
                </c:pt>
                <c:pt idx="3">
                  <c:v>0.69</c:v>
                </c:pt>
                <c:pt idx="4">
                  <c:v>0.7</c:v>
                </c:pt>
                <c:pt idx="5">
                  <c:v>1</c:v>
                </c:pt>
              </c:numCache>
            </c:numRef>
          </c:yVal>
          <c:smooth val="0"/>
          <c:extLst>
            <c:ext xmlns:c16="http://schemas.microsoft.com/office/drawing/2014/chart" uri="{C3380CC4-5D6E-409C-BE32-E72D297353CC}">
              <c16:uniqueId val="{00000001-3E16-41CA-B28A-FADB0C1D298B}"/>
            </c:ext>
          </c:extLst>
        </c:ser>
        <c:dLbls>
          <c:showLegendKey val="0"/>
          <c:showVal val="0"/>
          <c:showCatName val="0"/>
          <c:showSerName val="0"/>
          <c:showPercent val="0"/>
          <c:showBubbleSize val="0"/>
        </c:dLbls>
        <c:axId val="385171208"/>
        <c:axId val="385166896"/>
      </c:scatterChart>
      <c:valAx>
        <c:axId val="385171208"/>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 %)</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166896"/>
        <c:crosses val="autoZero"/>
        <c:crossBetween val="midCat"/>
      </c:valAx>
      <c:valAx>
        <c:axId val="385166896"/>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171208"/>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EPT Taxa Present - Blue Ridge Mountains</a:t>
            </a:r>
          </a:p>
        </c:rich>
      </c:tx>
      <c:layout>
        <c:manualLayout>
          <c:xMode val="edge"/>
          <c:yMode val="edge"/>
          <c:x val="0.20537290239442091"/>
          <c:y val="2.4353120243531201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8.4527106805852431E-2"/>
          <c:y val="0.11921023385590314"/>
          <c:w val="0.88015417784535277"/>
          <c:h val="0.77001599847178781"/>
        </c:manualLayout>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0.15413727722497467"/>
                  <c:y val="3.7209853501014682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Curves'!$AO$10:$AQ$10</c:f>
              <c:numCache>
                <c:formatCode>0.0000</c:formatCode>
                <c:ptCount val="3"/>
                <c:pt idx="0" formatCode="General">
                  <c:v>0</c:v>
                </c:pt>
                <c:pt idx="2" formatCode="General">
                  <c:v>19</c:v>
                </c:pt>
              </c:numCache>
            </c:numRef>
          </c:xVal>
          <c:yVal>
            <c:numRef>
              <c:f>'Reference Curves'!$AO$11:$AQ$11</c:f>
              <c:numCache>
                <c:formatCode>0.00</c:formatCode>
                <c:ptCount val="3"/>
                <c:pt idx="0">
                  <c:v>0</c:v>
                </c:pt>
                <c:pt idx="1">
                  <c:v>0.28999999999999998</c:v>
                </c:pt>
                <c:pt idx="2">
                  <c:v>0.3</c:v>
                </c:pt>
              </c:numCache>
            </c:numRef>
          </c:yVal>
          <c:smooth val="0"/>
          <c:extLst>
            <c:ext xmlns:c16="http://schemas.microsoft.com/office/drawing/2014/chart" uri="{C3380CC4-5D6E-409C-BE32-E72D297353CC}">
              <c16:uniqueId val="{00000001-377C-45EF-82A4-245C672B1144}"/>
            </c:ext>
          </c:extLst>
        </c:ser>
        <c:ser>
          <c:idx val="2"/>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6.7622495410665923E-2"/>
                  <c:y val="9.8767715081238869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Curves'!$AQ$10:$AS$10</c:f>
              <c:numCache>
                <c:formatCode>General</c:formatCode>
                <c:ptCount val="3"/>
                <c:pt idx="0">
                  <c:v>19</c:v>
                </c:pt>
                <c:pt idx="2">
                  <c:v>28</c:v>
                </c:pt>
              </c:numCache>
            </c:numRef>
          </c:xVal>
          <c:yVal>
            <c:numRef>
              <c:f>'Reference Curves'!$AQ$11:$AS$11</c:f>
              <c:numCache>
                <c:formatCode>0.00</c:formatCode>
                <c:ptCount val="3"/>
                <c:pt idx="0">
                  <c:v>0.3</c:v>
                </c:pt>
                <c:pt idx="1">
                  <c:v>0.69</c:v>
                </c:pt>
                <c:pt idx="2">
                  <c:v>0.7</c:v>
                </c:pt>
              </c:numCache>
            </c:numRef>
          </c:yVal>
          <c:smooth val="0"/>
          <c:extLst>
            <c:ext xmlns:c16="http://schemas.microsoft.com/office/drawing/2014/chart" uri="{C3380CC4-5D6E-409C-BE32-E72D297353CC}">
              <c16:uniqueId val="{00000003-41CF-41C7-979D-491514969473}"/>
            </c:ext>
          </c:extLst>
        </c:ser>
        <c:ser>
          <c:idx val="1"/>
          <c:order val="2"/>
          <c:spPr>
            <a:ln w="25400" cap="rnd">
              <a:noFill/>
              <a:round/>
            </a:ln>
            <a:effectLst/>
          </c:spPr>
          <c:marker>
            <c:symbol val="circle"/>
            <c:size val="5"/>
            <c:spPr>
              <a:solidFill>
                <a:schemeClr val="accent3"/>
              </a:solidFill>
              <a:ln w="9525">
                <a:solidFill>
                  <a:schemeClr val="accent3"/>
                </a:solidFill>
              </a:ln>
              <a:effectLst/>
            </c:spPr>
          </c:marker>
          <c:trendline>
            <c:spPr>
              <a:ln w="19050" cap="rnd">
                <a:solidFill>
                  <a:schemeClr val="accent3"/>
                </a:solidFill>
                <a:prstDash val="sysDot"/>
              </a:ln>
              <a:effectLst/>
            </c:spPr>
            <c:trendlineType val="linear"/>
            <c:dispRSqr val="0"/>
            <c:dispEq val="1"/>
            <c:trendlineLbl>
              <c:layout>
                <c:manualLayout>
                  <c:x val="-6.334346259012763E-2"/>
                  <c:y val="2.4933910288240997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3">
                          <a:lumMod val="50000"/>
                        </a:schemeClr>
                      </a:solidFill>
                      <a:latin typeface="+mn-lt"/>
                      <a:ea typeface="+mn-ea"/>
                      <a:cs typeface="+mn-cs"/>
                    </a:defRPr>
                  </a:pPr>
                  <a:endParaRPr lang="en-US"/>
                </a:p>
              </c:txPr>
            </c:trendlineLbl>
          </c:trendline>
          <c:xVal>
            <c:numRef>
              <c:f>'Reference Curves'!$AS$10:$AT$10</c:f>
              <c:numCache>
                <c:formatCode>General</c:formatCode>
                <c:ptCount val="2"/>
                <c:pt idx="0">
                  <c:v>28</c:v>
                </c:pt>
                <c:pt idx="1">
                  <c:v>36</c:v>
                </c:pt>
              </c:numCache>
            </c:numRef>
          </c:xVal>
          <c:yVal>
            <c:numRef>
              <c:f>'Reference Curves'!$AS$11:$AT$11</c:f>
              <c:numCache>
                <c:formatCode>0.00</c:formatCode>
                <c:ptCount val="2"/>
                <c:pt idx="0">
                  <c:v>0.7</c:v>
                </c:pt>
                <c:pt idx="1">
                  <c:v>1</c:v>
                </c:pt>
              </c:numCache>
            </c:numRef>
          </c:yVal>
          <c:smooth val="0"/>
          <c:extLst>
            <c:ext xmlns:c16="http://schemas.microsoft.com/office/drawing/2014/chart" uri="{C3380CC4-5D6E-409C-BE32-E72D297353CC}">
              <c16:uniqueId val="{00000003-377C-45EF-82A4-245C672B1144}"/>
            </c:ext>
          </c:extLst>
        </c:ser>
        <c:dLbls>
          <c:showLegendKey val="0"/>
          <c:showVal val="0"/>
          <c:showCatName val="0"/>
          <c:showSerName val="0"/>
          <c:showPercent val="0"/>
          <c:showBubbleSize val="0"/>
        </c:dLbls>
        <c:axId val="387525784"/>
        <c:axId val="387528528"/>
      </c:scatterChart>
      <c:valAx>
        <c:axId val="387525784"/>
        <c:scaling>
          <c:orientation val="minMax"/>
          <c:min val="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 taxa)</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28528"/>
        <c:crosses val="autoZero"/>
        <c:crossBetween val="midCat"/>
      </c:valAx>
      <c:valAx>
        <c:axId val="387528528"/>
        <c:scaling>
          <c:orientation val="minMax"/>
          <c:max val="1"/>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25784"/>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EPT Taxa Present - </a:t>
            </a:r>
            <a:r>
              <a:rPr lang="en-US" baseline="0"/>
              <a:t>Piedmont</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842064042857523"/>
          <c:y val="0.1123329190154274"/>
          <c:w val="0.86755207282375979"/>
          <c:h val="0.79120653290240617"/>
        </c:manualLayout>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intercept val="0"/>
            <c:dispRSqr val="0"/>
            <c:dispEq val="1"/>
            <c:trendlineLbl>
              <c:layout>
                <c:manualLayout>
                  <c:x val="-0.13589135829011137"/>
                  <c:y val="2.5477904487413296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Curves'!$AO$44:$AQ$44</c:f>
              <c:numCache>
                <c:formatCode>0.0000</c:formatCode>
                <c:ptCount val="3"/>
                <c:pt idx="0" formatCode="General">
                  <c:v>0</c:v>
                </c:pt>
                <c:pt idx="2" formatCode="General">
                  <c:v>14</c:v>
                </c:pt>
              </c:numCache>
            </c:numRef>
          </c:xVal>
          <c:yVal>
            <c:numRef>
              <c:f>'Reference Curves'!$AO$45:$AQ$45</c:f>
              <c:numCache>
                <c:formatCode>0.00</c:formatCode>
                <c:ptCount val="3"/>
                <c:pt idx="0">
                  <c:v>0</c:v>
                </c:pt>
                <c:pt idx="1">
                  <c:v>0.28999999999999998</c:v>
                </c:pt>
                <c:pt idx="2">
                  <c:v>0.3</c:v>
                </c:pt>
              </c:numCache>
            </c:numRef>
          </c:yVal>
          <c:smooth val="0"/>
          <c:extLst>
            <c:ext xmlns:c16="http://schemas.microsoft.com/office/drawing/2014/chart" uri="{C3380CC4-5D6E-409C-BE32-E72D297353CC}">
              <c16:uniqueId val="{00000001-2F3E-4ECF-BBA9-C7C6CA659B80}"/>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9.4201047810252445E-2"/>
                  <c:y val="8.2580107940149763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Curves'!$AQ$44:$AS$44</c:f>
              <c:numCache>
                <c:formatCode>General</c:formatCode>
                <c:ptCount val="3"/>
                <c:pt idx="0">
                  <c:v>14</c:v>
                </c:pt>
                <c:pt idx="2">
                  <c:v>21</c:v>
                </c:pt>
              </c:numCache>
            </c:numRef>
          </c:xVal>
          <c:yVal>
            <c:numRef>
              <c:f>'Reference Curves'!$AQ$45:$AS$45</c:f>
              <c:numCache>
                <c:formatCode>0.00</c:formatCode>
                <c:ptCount val="3"/>
                <c:pt idx="0">
                  <c:v>0.3</c:v>
                </c:pt>
                <c:pt idx="1">
                  <c:v>0.69</c:v>
                </c:pt>
                <c:pt idx="2">
                  <c:v>0.7</c:v>
                </c:pt>
              </c:numCache>
            </c:numRef>
          </c:yVal>
          <c:smooth val="0"/>
          <c:extLst>
            <c:ext xmlns:c16="http://schemas.microsoft.com/office/drawing/2014/chart" uri="{C3380CC4-5D6E-409C-BE32-E72D297353CC}">
              <c16:uniqueId val="{00000003-2F3E-4ECF-BBA9-C7C6CA659B80}"/>
            </c:ext>
          </c:extLst>
        </c:ser>
        <c:ser>
          <c:idx val="2"/>
          <c:order val="2"/>
          <c:spPr>
            <a:ln w="25400" cap="rnd">
              <a:noFill/>
              <a:round/>
            </a:ln>
            <a:effectLst/>
          </c:spPr>
          <c:marker>
            <c:symbol val="circle"/>
            <c:size val="5"/>
            <c:spPr>
              <a:solidFill>
                <a:schemeClr val="accent3"/>
              </a:solidFill>
              <a:ln w="9525">
                <a:solidFill>
                  <a:schemeClr val="accent3"/>
                </a:solidFill>
              </a:ln>
              <a:effectLst/>
            </c:spPr>
          </c:marker>
          <c:trendline>
            <c:spPr>
              <a:ln w="19050" cap="rnd">
                <a:solidFill>
                  <a:schemeClr val="accent3"/>
                </a:solidFill>
                <a:prstDash val="sysDot"/>
              </a:ln>
              <a:effectLst/>
            </c:spPr>
            <c:trendlineType val="linear"/>
            <c:dispRSqr val="0"/>
            <c:dispEq val="1"/>
            <c:trendlineLbl>
              <c:layout>
                <c:manualLayout>
                  <c:x val="-0.12571042110619352"/>
                  <c:y val="6.8329325671272811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rendlineLbl>
          </c:trendline>
          <c:xVal>
            <c:numRef>
              <c:f>'Reference Curves'!$AS$44:$AT$44</c:f>
              <c:numCache>
                <c:formatCode>General</c:formatCode>
                <c:ptCount val="2"/>
                <c:pt idx="0">
                  <c:v>21</c:v>
                </c:pt>
                <c:pt idx="1">
                  <c:v>28</c:v>
                </c:pt>
              </c:numCache>
            </c:numRef>
          </c:xVal>
          <c:yVal>
            <c:numRef>
              <c:f>'Reference Curves'!$AS$45:$AT$45</c:f>
              <c:numCache>
                <c:formatCode>0.00</c:formatCode>
                <c:ptCount val="2"/>
                <c:pt idx="0">
                  <c:v>0.7</c:v>
                </c:pt>
                <c:pt idx="1">
                  <c:v>1</c:v>
                </c:pt>
              </c:numCache>
            </c:numRef>
          </c:yVal>
          <c:smooth val="0"/>
          <c:extLst>
            <c:ext xmlns:c16="http://schemas.microsoft.com/office/drawing/2014/chart" uri="{C3380CC4-5D6E-409C-BE32-E72D297353CC}">
              <c16:uniqueId val="{00000003-D151-4910-84CD-5668D0B80354}"/>
            </c:ext>
          </c:extLst>
        </c:ser>
        <c:dLbls>
          <c:showLegendKey val="0"/>
          <c:showVal val="0"/>
          <c:showCatName val="0"/>
          <c:showSerName val="0"/>
          <c:showPercent val="0"/>
          <c:showBubbleSize val="0"/>
        </c:dLbls>
        <c:axId val="387525784"/>
        <c:axId val="387528528"/>
      </c:scatterChart>
      <c:valAx>
        <c:axId val="387525784"/>
        <c:scaling>
          <c:orientation val="minMax"/>
          <c:min val="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 taxa)</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28528"/>
        <c:crosses val="autoZero"/>
        <c:crossBetween val="midCat"/>
      </c:valAx>
      <c:valAx>
        <c:axId val="387528528"/>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layout>
            <c:manualLayout>
              <c:xMode val="edge"/>
              <c:yMode val="edge"/>
              <c:x val="1.4236060595449237E-2"/>
              <c:y val="0.37633512137276054"/>
            </c:manualLayout>
          </c:layout>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7525784"/>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Pool Depth Ratio for A</a:t>
            </a:r>
            <a:r>
              <a:rPr lang="en-US" baseline="0"/>
              <a:t> </a:t>
            </a:r>
            <a:r>
              <a:rPr lang="en-US"/>
              <a:t>streams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5092168505273453E-2"/>
          <c:y val="0.10898967428091716"/>
          <c:w val="0.85454118492941922"/>
          <c:h val="0.78031347130505857"/>
        </c:manualLayout>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5.9496160600892946E-2"/>
                  <c:y val="5.4080051314198546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Curves'!$U$597:$W$597</c:f>
              <c:numCache>
                <c:formatCode>0.0</c:formatCode>
                <c:ptCount val="3"/>
                <c:pt idx="0">
                  <c:v>1</c:v>
                </c:pt>
                <c:pt idx="2">
                  <c:v>1.1000000000000001</c:v>
                </c:pt>
              </c:numCache>
            </c:numRef>
          </c:xVal>
          <c:yVal>
            <c:numRef>
              <c:f>'Reference Curves'!$U$598:$W$598</c:f>
              <c:numCache>
                <c:formatCode>0.00</c:formatCode>
                <c:ptCount val="3"/>
                <c:pt idx="0">
                  <c:v>0</c:v>
                </c:pt>
                <c:pt idx="1">
                  <c:v>0.28999999999999998</c:v>
                </c:pt>
                <c:pt idx="2">
                  <c:v>0.3</c:v>
                </c:pt>
              </c:numCache>
            </c:numRef>
          </c:yVal>
          <c:smooth val="0"/>
          <c:extLst>
            <c:ext xmlns:c16="http://schemas.microsoft.com/office/drawing/2014/chart" uri="{C3380CC4-5D6E-409C-BE32-E72D297353CC}">
              <c16:uniqueId val="{00000001-7DD3-463D-A5C0-6D9C535CA649}"/>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0.11451704493093119"/>
                  <c:y val="0.13205036515758156"/>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Curves'!$W$597:$Y$597</c:f>
              <c:numCache>
                <c:formatCode>0.0</c:formatCode>
                <c:ptCount val="3"/>
                <c:pt idx="0">
                  <c:v>1.1000000000000001</c:v>
                </c:pt>
                <c:pt idx="2">
                  <c:v>1.4</c:v>
                </c:pt>
              </c:numCache>
            </c:numRef>
          </c:xVal>
          <c:yVal>
            <c:numRef>
              <c:f>'Reference Curves'!$W$598:$Y$598</c:f>
              <c:numCache>
                <c:formatCode>0.00</c:formatCode>
                <c:ptCount val="3"/>
                <c:pt idx="0">
                  <c:v>0.3</c:v>
                </c:pt>
                <c:pt idx="1">
                  <c:v>0.69</c:v>
                </c:pt>
                <c:pt idx="2">
                  <c:v>0.7</c:v>
                </c:pt>
              </c:numCache>
            </c:numRef>
          </c:yVal>
          <c:smooth val="0"/>
          <c:extLst>
            <c:ext xmlns:c16="http://schemas.microsoft.com/office/drawing/2014/chart" uri="{C3380CC4-5D6E-409C-BE32-E72D297353CC}">
              <c16:uniqueId val="{00000003-7DD3-463D-A5C0-6D9C535CA649}"/>
            </c:ext>
          </c:extLst>
        </c:ser>
        <c:ser>
          <c:idx val="2"/>
          <c:order val="2"/>
          <c:spPr>
            <a:ln w="25400" cap="rnd">
              <a:noFill/>
              <a:round/>
            </a:ln>
            <a:effectLst/>
          </c:spPr>
          <c:marker>
            <c:symbol val="circle"/>
            <c:size val="5"/>
            <c:spPr>
              <a:solidFill>
                <a:schemeClr val="accent3"/>
              </a:solidFill>
              <a:ln w="9525">
                <a:solidFill>
                  <a:schemeClr val="accent3"/>
                </a:solidFill>
              </a:ln>
              <a:effectLst/>
            </c:spPr>
          </c:marker>
          <c:trendline>
            <c:spPr>
              <a:ln w="19050" cap="rnd">
                <a:solidFill>
                  <a:schemeClr val="accent3"/>
                </a:solidFill>
                <a:prstDash val="sysDot"/>
              </a:ln>
              <a:effectLst/>
            </c:spPr>
            <c:trendlineType val="linear"/>
            <c:dispRSqr val="0"/>
            <c:dispEq val="1"/>
            <c:trendlineLbl>
              <c:layout>
                <c:manualLayout>
                  <c:x val="-7.0849442367762569E-2"/>
                  <c:y val="7.8836871697036629E-3"/>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rendlineLbl>
          </c:trendline>
          <c:xVal>
            <c:numRef>
              <c:f>'Reference Curves'!$Y$597:$Z$597</c:f>
              <c:numCache>
                <c:formatCode>0.0</c:formatCode>
                <c:ptCount val="2"/>
                <c:pt idx="0">
                  <c:v>1.4</c:v>
                </c:pt>
                <c:pt idx="1">
                  <c:v>1.7</c:v>
                </c:pt>
              </c:numCache>
            </c:numRef>
          </c:xVal>
          <c:yVal>
            <c:numRef>
              <c:f>'Reference Curves'!$Y$598:$Z$598</c:f>
              <c:numCache>
                <c:formatCode>0.00</c:formatCode>
                <c:ptCount val="2"/>
                <c:pt idx="0">
                  <c:v>0.7</c:v>
                </c:pt>
                <c:pt idx="1">
                  <c:v>1</c:v>
                </c:pt>
              </c:numCache>
            </c:numRef>
          </c:yVal>
          <c:smooth val="0"/>
          <c:extLst>
            <c:ext xmlns:c16="http://schemas.microsoft.com/office/drawing/2014/chart" uri="{C3380CC4-5D6E-409C-BE32-E72D297353CC}">
              <c16:uniqueId val="{00000005-7DD3-463D-A5C0-6D9C535CA649}"/>
            </c:ext>
          </c:extLst>
        </c:ser>
        <c:dLbls>
          <c:showLegendKey val="0"/>
          <c:showVal val="0"/>
          <c:showCatName val="0"/>
          <c:showSerName val="0"/>
          <c:showPercent val="0"/>
          <c:showBubbleSize val="0"/>
        </c:dLbls>
        <c:axId val="384809112"/>
        <c:axId val="384809896"/>
      </c:scatterChart>
      <c:valAx>
        <c:axId val="384809112"/>
        <c:scaling>
          <c:orientation val="minMax"/>
          <c:min val="0.60000000000000009"/>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a:t>
                </a:r>
                <a:r>
                  <a:rPr lang="en-US" sz="1100" b="0" i="0" u="none" strike="noStrike" baseline="0">
                    <a:effectLst/>
                  </a:rPr>
                  <a:t>Ratio)</a:t>
                </a:r>
                <a:endParaRPr lang="en-US" sz="1100"/>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809896"/>
        <c:crosses val="autoZero"/>
        <c:crossBetween val="midCat"/>
      </c:valAx>
      <c:valAx>
        <c:axId val="384809896"/>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809112"/>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Percent Riffle for B Streams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8.1708478915652069E-2"/>
                  <c:y val="9.9873162371758514E-2"/>
                </c:manualLayout>
              </c:layout>
              <c:numFmt formatCode="#,##0.000000"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Curves'!$U$729:$Z$729</c:f>
              <c:numCache>
                <c:formatCode>0</c:formatCode>
                <c:ptCount val="6"/>
                <c:pt idx="0">
                  <c:v>0</c:v>
                </c:pt>
                <c:pt idx="5">
                  <c:v>54</c:v>
                </c:pt>
              </c:numCache>
            </c:numRef>
          </c:xVal>
          <c:yVal>
            <c:numRef>
              <c:f>'Reference Curves'!$U$731:$Z$731</c:f>
              <c:numCache>
                <c:formatCode>0.00</c:formatCode>
                <c:ptCount val="6"/>
                <c:pt idx="0">
                  <c:v>0</c:v>
                </c:pt>
                <c:pt idx="1">
                  <c:v>0.28999999999999998</c:v>
                </c:pt>
                <c:pt idx="2">
                  <c:v>0.3</c:v>
                </c:pt>
                <c:pt idx="3">
                  <c:v>0.69</c:v>
                </c:pt>
                <c:pt idx="4">
                  <c:v>0.7</c:v>
                </c:pt>
                <c:pt idx="5">
                  <c:v>1</c:v>
                </c:pt>
              </c:numCache>
            </c:numRef>
          </c:yVal>
          <c:smooth val="0"/>
          <c:extLst>
            <c:ext xmlns:c16="http://schemas.microsoft.com/office/drawing/2014/chart" uri="{C3380CC4-5D6E-409C-BE32-E72D297353CC}">
              <c16:uniqueId val="{00000001-E8A8-4662-85DF-AA253D600430}"/>
            </c:ext>
          </c:extLst>
        </c:ser>
        <c:ser>
          <c:idx val="1"/>
          <c:order val="1"/>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poly"/>
            <c:order val="2"/>
            <c:dispRSqr val="0"/>
            <c:dispEq val="1"/>
            <c:trendlineLbl>
              <c:layout>
                <c:manualLayout>
                  <c:x val="-2.8311500997831546E-2"/>
                  <c:y val="-3.5539841744354539E-2"/>
                </c:manualLayout>
              </c:layout>
              <c:numFmt formatCode="#,##0.000000"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Curves'!$U$730:$Z$730</c:f>
              <c:numCache>
                <c:formatCode>0</c:formatCode>
                <c:ptCount val="6"/>
                <c:pt idx="0">
                  <c:v>100</c:v>
                </c:pt>
                <c:pt idx="5">
                  <c:v>62</c:v>
                </c:pt>
              </c:numCache>
            </c:numRef>
          </c:xVal>
          <c:yVal>
            <c:numRef>
              <c:f>'Reference Curves'!$U$731:$Z$731</c:f>
              <c:numCache>
                <c:formatCode>0.00</c:formatCode>
                <c:ptCount val="6"/>
                <c:pt idx="0">
                  <c:v>0</c:v>
                </c:pt>
                <c:pt idx="1">
                  <c:v>0.28999999999999998</c:v>
                </c:pt>
                <c:pt idx="2">
                  <c:v>0.3</c:v>
                </c:pt>
                <c:pt idx="3">
                  <c:v>0.69</c:v>
                </c:pt>
                <c:pt idx="4">
                  <c:v>0.7</c:v>
                </c:pt>
                <c:pt idx="5">
                  <c:v>1</c:v>
                </c:pt>
              </c:numCache>
            </c:numRef>
          </c:yVal>
          <c:smooth val="0"/>
          <c:extLst>
            <c:ext xmlns:c16="http://schemas.microsoft.com/office/drawing/2014/chart" uri="{C3380CC4-5D6E-409C-BE32-E72D297353CC}">
              <c16:uniqueId val="{00000003-E8A8-4662-85DF-AA253D600430}"/>
            </c:ext>
          </c:extLst>
        </c:ser>
        <c:ser>
          <c:idx val="2"/>
          <c:order val="2"/>
          <c:spPr>
            <a:ln w="25400" cap="rnd">
              <a:solidFill>
                <a:srgbClr val="FF0000"/>
              </a:solidFill>
              <a:round/>
            </a:ln>
            <a:effectLst/>
          </c:spPr>
          <c:marker>
            <c:symbol val="none"/>
          </c:marker>
          <c:xVal>
            <c:numRef>
              <c:f>'Reference Curves'!$Z$729:$Z$730</c:f>
              <c:numCache>
                <c:formatCode>0</c:formatCode>
                <c:ptCount val="2"/>
                <c:pt idx="0">
                  <c:v>54</c:v>
                </c:pt>
                <c:pt idx="1">
                  <c:v>62</c:v>
                </c:pt>
              </c:numCache>
            </c:numRef>
          </c:xVal>
          <c:yVal>
            <c:numLit>
              <c:formatCode>General</c:formatCode>
              <c:ptCount val="2"/>
              <c:pt idx="0">
                <c:v>1</c:v>
              </c:pt>
              <c:pt idx="1">
                <c:v>1</c:v>
              </c:pt>
            </c:numLit>
          </c:yVal>
          <c:smooth val="0"/>
          <c:extLst>
            <c:ext xmlns:c16="http://schemas.microsoft.com/office/drawing/2014/chart" uri="{C3380CC4-5D6E-409C-BE32-E72D297353CC}">
              <c16:uniqueId val="{00000004-E8A8-4662-85DF-AA253D600430}"/>
            </c:ext>
          </c:extLst>
        </c:ser>
        <c:dLbls>
          <c:showLegendKey val="0"/>
          <c:showVal val="0"/>
          <c:showCatName val="0"/>
          <c:showSerName val="0"/>
          <c:showPercent val="0"/>
          <c:showBubbleSize val="0"/>
        </c:dLbls>
        <c:axId val="363179328"/>
        <c:axId val="363180112"/>
      </c:scatterChart>
      <c:valAx>
        <c:axId val="363179328"/>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a:t>
                </a:r>
              </a:p>
            </c:rich>
          </c:tx>
          <c:layout>
            <c:manualLayout>
              <c:xMode val="edge"/>
              <c:yMode val="edge"/>
              <c:x val="0.41896342508207335"/>
              <c:y val="0.93190702301485828"/>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3180112"/>
        <c:crosses val="autoZero"/>
        <c:crossBetween val="midCat"/>
      </c:valAx>
      <c:valAx>
        <c:axId val="363180112"/>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 </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63179328"/>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Buffer Width - Industrial / Landfill</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5388393752094E-2"/>
          <c:y val="0.10204166515928853"/>
          <c:w val="0.70305177487648929"/>
          <c:h val="0.77242626646300638"/>
        </c:manualLayout>
      </c:layout>
      <c:scatterChart>
        <c:scatterStyle val="lineMarker"/>
        <c:varyColors val="0"/>
        <c:ser>
          <c:idx val="0"/>
          <c:order val="0"/>
          <c:tx>
            <c:strRef>
              <c:f>'Reference Curves'!$T$290</c:f>
              <c:strCache>
                <c:ptCount val="1"/>
                <c:pt idx="0">
                  <c:v>Buffer slope &lt; 5% </c:v>
                </c:pt>
              </c:strCache>
            </c:strRef>
          </c:tx>
          <c:spPr>
            <a:ln w="25400" cap="rnd">
              <a:noFill/>
              <a:round/>
            </a:ln>
            <a:effectLst/>
          </c:spPr>
          <c:marker>
            <c:symbol val="circle"/>
            <c:size val="5"/>
            <c:spPr>
              <a:solidFill>
                <a:srgbClr val="00B0F0"/>
              </a:solidFill>
              <a:ln w="9525">
                <a:noFill/>
              </a:ln>
              <a:effectLst/>
            </c:spPr>
          </c:marker>
          <c:trendline>
            <c:spPr>
              <a:ln w="19050" cap="rnd">
                <a:solidFill>
                  <a:schemeClr val="accent1"/>
                </a:solidFill>
                <a:prstDash val="sysDot"/>
              </a:ln>
              <a:effectLst/>
            </c:spPr>
            <c:trendlineType val="log"/>
            <c:dispRSqr val="1"/>
            <c:dispEq val="1"/>
            <c:trendlineLbl>
              <c:layout>
                <c:manualLayout>
                  <c:x val="-0.54505420421658257"/>
                  <c:y val="8.5648724457825023E-2"/>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trendline>
            <c:spPr>
              <a:ln w="19050" cap="rnd">
                <a:solidFill>
                  <a:schemeClr val="accent1"/>
                </a:solidFill>
                <a:prstDash val="sysDot"/>
              </a:ln>
              <a:effectLst/>
            </c:spPr>
            <c:trendlineType val="log"/>
            <c:dispRSqr val="0"/>
            <c:dispEq val="1"/>
            <c:trendlineLbl>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trendline>
            <c:spPr>
              <a:ln w="19050" cap="rnd">
                <a:solidFill>
                  <a:schemeClr val="accent1"/>
                </a:solidFill>
                <a:prstDash val="sysDot"/>
              </a:ln>
              <a:effectLst/>
            </c:spPr>
            <c:trendlineType val="log"/>
            <c:dispRSqr val="0"/>
            <c:dispEq val="1"/>
            <c:trendlineLbl>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trendline>
            <c:spPr>
              <a:ln w="19050" cap="rnd">
                <a:solidFill>
                  <a:schemeClr val="accent1">
                    <a:lumMod val="75000"/>
                  </a:schemeClr>
                </a:solidFill>
                <a:prstDash val="sysDot"/>
              </a:ln>
              <a:effectLst/>
            </c:spPr>
            <c:trendlineType val="linear"/>
            <c:dispRSqr val="0"/>
            <c:dispEq val="1"/>
            <c:trendlineLbl>
              <c:layout>
                <c:manualLayout>
                  <c:x val="2.3809845194161957E-2"/>
                  <c:y val="-4.1551862220366914E-2"/>
                </c:manualLayout>
              </c:layout>
              <c:numFmt formatCode="#,##0.0000"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Curves'!$U$290:$Y$290</c:f>
              <c:numCache>
                <c:formatCode>General</c:formatCode>
                <c:ptCount val="5"/>
                <c:pt idx="0">
                  <c:v>0</c:v>
                </c:pt>
                <c:pt idx="4">
                  <c:v>150</c:v>
                </c:pt>
              </c:numCache>
            </c:numRef>
          </c:xVal>
          <c:yVal>
            <c:numRef>
              <c:f>'Reference Curves'!$U$293:$Y$293</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4-9399-4837-AC6E-82CE2354FFFE}"/>
            </c:ext>
          </c:extLst>
        </c:ser>
        <c:ser>
          <c:idx val="1"/>
          <c:order val="1"/>
          <c:tx>
            <c:strRef>
              <c:f>'Reference Curves'!$T$290</c:f>
              <c:strCache>
                <c:ptCount val="1"/>
                <c:pt idx="0">
                  <c:v>Buffer slope &lt; 5% </c:v>
                </c:pt>
              </c:strCache>
            </c:strRef>
          </c:tx>
          <c:spPr>
            <a:ln w="25400" cap="rnd">
              <a:noFill/>
              <a:round/>
            </a:ln>
            <a:effectLst/>
          </c:spPr>
          <c:marker>
            <c:symbol val="circle"/>
            <c:size val="5"/>
            <c:spPr>
              <a:solidFill>
                <a:srgbClr val="00B0F0"/>
              </a:solidFill>
              <a:ln w="9525">
                <a:noFill/>
              </a:ln>
              <a:effectLst/>
            </c:spPr>
          </c:marker>
          <c:trendline>
            <c:spPr>
              <a:ln w="19050" cap="rnd">
                <a:solidFill>
                  <a:srgbClr val="00B0F0"/>
                </a:solidFill>
                <a:prstDash val="sysDot"/>
              </a:ln>
              <a:effectLst/>
            </c:spPr>
            <c:trendlineType val="linear"/>
            <c:dispRSqr val="0"/>
            <c:dispEq val="1"/>
            <c:trendlineLbl>
              <c:layout>
                <c:manualLayout>
                  <c:x val="-5.5364391687656299E-2"/>
                  <c:y val="1.6259537371027102E-2"/>
                </c:manualLayout>
              </c:layout>
              <c:numFmt formatCode="#,##0.0000" sourceLinked="0"/>
              <c:spPr>
                <a:noFill/>
                <a:ln>
                  <a:noFill/>
                </a:ln>
                <a:effectLst/>
              </c:spPr>
              <c:txPr>
                <a:bodyPr rot="0" spcFirstLastPara="1" vertOverflow="ellipsis" vert="horz" wrap="square" anchor="ctr" anchorCtr="1"/>
                <a:lstStyle/>
                <a:p>
                  <a:pPr>
                    <a:defRPr sz="1100" b="0" i="0" u="none" strike="noStrike" kern="1200" baseline="0">
                      <a:solidFill>
                        <a:srgbClr val="00B0F0"/>
                      </a:solidFill>
                      <a:latin typeface="+mn-lt"/>
                      <a:ea typeface="+mn-ea"/>
                      <a:cs typeface="+mn-cs"/>
                    </a:defRPr>
                  </a:pPr>
                  <a:endParaRPr lang="en-US"/>
                </a:p>
              </c:txPr>
            </c:trendlineLbl>
          </c:trendline>
          <c:xVal>
            <c:numRef>
              <c:f>'Reference Curves'!$Y$290:$Z$290</c:f>
              <c:numCache>
                <c:formatCode>General</c:formatCode>
                <c:ptCount val="2"/>
                <c:pt idx="0">
                  <c:v>150</c:v>
                </c:pt>
                <c:pt idx="1">
                  <c:v>300</c:v>
                </c:pt>
              </c:numCache>
            </c:numRef>
          </c:xVal>
          <c:yVal>
            <c:numRef>
              <c:f>'Reference Curves'!$Y$293:$Z$293</c:f>
              <c:numCache>
                <c:formatCode>0.00</c:formatCode>
                <c:ptCount val="2"/>
                <c:pt idx="0">
                  <c:v>0.7</c:v>
                </c:pt>
                <c:pt idx="1">
                  <c:v>1</c:v>
                </c:pt>
              </c:numCache>
            </c:numRef>
          </c:yVal>
          <c:smooth val="0"/>
          <c:extLst xmlns:c15="http://schemas.microsoft.com/office/drawing/2012/chart">
            <c:ext xmlns:c16="http://schemas.microsoft.com/office/drawing/2014/chart" uri="{C3380CC4-5D6E-409C-BE32-E72D297353CC}">
              <c16:uniqueId val="{00000006-9399-4837-AC6E-82CE2354FFFE}"/>
            </c:ext>
          </c:extLst>
        </c:ser>
        <c:ser>
          <c:idx val="2"/>
          <c:order val="2"/>
          <c:tx>
            <c:strRef>
              <c:f>'Reference Curves'!$T$291</c:f>
              <c:strCache>
                <c:ptCount val="1"/>
                <c:pt idx="0">
                  <c:v>Buffer slope 5-20%</c:v>
                </c:pt>
              </c:strCache>
            </c:strRef>
          </c:tx>
          <c:spPr>
            <a:ln w="25400" cap="rnd">
              <a:noFill/>
              <a:round/>
            </a:ln>
            <a:effectLst/>
          </c:spPr>
          <c:marker>
            <c:symbol val="circle"/>
            <c:size val="5"/>
            <c:spPr>
              <a:solidFill>
                <a:schemeClr val="accent3"/>
              </a:solidFill>
              <a:ln w="9525">
                <a:solidFill>
                  <a:schemeClr val="accent3"/>
                </a:solidFill>
              </a:ln>
              <a:effectLst/>
            </c:spPr>
          </c:marker>
          <c:trendline>
            <c:spPr>
              <a:ln w="19050" cap="rnd">
                <a:solidFill>
                  <a:schemeClr val="accent3"/>
                </a:solidFill>
                <a:prstDash val="sysDot"/>
              </a:ln>
              <a:effectLst/>
            </c:spPr>
            <c:trendlineType val="linear"/>
            <c:forward val="120"/>
            <c:dispRSqr val="0"/>
            <c:dispEq val="1"/>
            <c:trendlineLbl>
              <c:layout>
                <c:manualLayout>
                  <c:x val="2.0885296172044984E-2"/>
                  <c:y val="0.11122354041100864"/>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bg2">
                          <a:lumMod val="50000"/>
                        </a:schemeClr>
                      </a:solidFill>
                      <a:latin typeface="+mn-lt"/>
                      <a:ea typeface="+mn-ea"/>
                      <a:cs typeface="+mn-cs"/>
                    </a:defRPr>
                  </a:pPr>
                  <a:endParaRPr lang="en-US"/>
                </a:p>
              </c:txPr>
            </c:trendlineLbl>
          </c:trendline>
          <c:xVal>
            <c:numRef>
              <c:f>'Reference Curves'!$U$291:$Y$291</c:f>
              <c:numCache>
                <c:formatCode>General</c:formatCode>
                <c:ptCount val="5"/>
                <c:pt idx="0">
                  <c:v>0</c:v>
                </c:pt>
                <c:pt idx="4">
                  <c:v>250</c:v>
                </c:pt>
              </c:numCache>
            </c:numRef>
          </c:xVal>
          <c:yVal>
            <c:numRef>
              <c:f>'Reference Curves'!$U$293:$Y$293</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6-B020-4396-A009-D719152F801C}"/>
            </c:ext>
          </c:extLst>
        </c:ser>
        <c:ser>
          <c:idx val="4"/>
          <c:order val="3"/>
          <c:tx>
            <c:strRef>
              <c:f>'Reference Curves'!$T$292</c:f>
              <c:strCache>
                <c:ptCount val="1"/>
                <c:pt idx="0">
                  <c:v>Buffer slope 21-40% </c:v>
                </c:pt>
              </c:strCache>
            </c:strRef>
          </c:tx>
          <c:spPr>
            <a:ln w="25400" cap="rnd">
              <a:noFill/>
              <a:round/>
            </a:ln>
            <a:effectLst/>
          </c:spPr>
          <c:marker>
            <c:symbol val="circle"/>
            <c:size val="5"/>
            <c:spPr>
              <a:solidFill>
                <a:srgbClr val="00B050"/>
              </a:solidFill>
              <a:ln w="9525">
                <a:noFill/>
              </a:ln>
              <a:effectLst/>
            </c:spPr>
          </c:marker>
          <c:trendline>
            <c:spPr>
              <a:ln w="19050" cap="rnd">
                <a:noFill/>
                <a:prstDash val="sysDot"/>
              </a:ln>
              <a:effectLst/>
            </c:spPr>
            <c:trendlineType val="linear"/>
            <c:forward val="150"/>
            <c:dispRSqr val="0"/>
            <c:dispEq val="1"/>
            <c:trendlineLbl>
              <c:layout>
                <c:manualLayout>
                  <c:x val="-0.16295750155421174"/>
                  <c:y val="0.45155222969759545"/>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rgbClr val="00B050"/>
                      </a:solidFill>
                      <a:latin typeface="+mn-lt"/>
                      <a:ea typeface="+mn-ea"/>
                      <a:cs typeface="+mn-cs"/>
                    </a:defRPr>
                  </a:pPr>
                  <a:endParaRPr lang="en-US"/>
                </a:p>
              </c:txPr>
            </c:trendlineLbl>
          </c:trendline>
          <c:trendline>
            <c:spPr>
              <a:ln w="19050" cap="rnd">
                <a:solidFill>
                  <a:srgbClr val="00B050"/>
                </a:solidFill>
                <a:prstDash val="sysDot"/>
              </a:ln>
              <a:effectLst/>
            </c:spPr>
            <c:trendlineType val="linear"/>
            <c:forward val="180"/>
            <c:dispRSqr val="0"/>
            <c:dispEq val="0"/>
          </c:trendline>
          <c:xVal>
            <c:numRef>
              <c:f>'Reference Curves'!$U$292:$Y$292</c:f>
              <c:numCache>
                <c:formatCode>General</c:formatCode>
                <c:ptCount val="5"/>
                <c:pt idx="0">
                  <c:v>0</c:v>
                </c:pt>
                <c:pt idx="4">
                  <c:v>350</c:v>
                </c:pt>
              </c:numCache>
            </c:numRef>
          </c:xVal>
          <c:yVal>
            <c:numRef>
              <c:f>'Reference Curves'!$U$293:$Y$293</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A-B020-4396-A009-D719152F801C}"/>
            </c:ext>
          </c:extLst>
        </c:ser>
        <c:dLbls>
          <c:showLegendKey val="0"/>
          <c:showVal val="0"/>
          <c:showCatName val="0"/>
          <c:showSerName val="0"/>
          <c:showPercent val="0"/>
          <c:showBubbleSize val="0"/>
        </c:dLbls>
        <c:axId val="388311608"/>
        <c:axId val="388306120"/>
        <c:extLst/>
      </c:scatterChart>
      <c:valAx>
        <c:axId val="388311608"/>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(ft)</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8306120"/>
        <c:crosses val="autoZero"/>
        <c:crossBetween val="midCat"/>
      </c:valAx>
      <c:valAx>
        <c:axId val="388306120"/>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8311608"/>
        <c:crosses val="autoZero"/>
        <c:crossBetween val="midCat"/>
      </c:valAx>
      <c:spPr>
        <a:noFill/>
        <a:ln>
          <a:noFill/>
        </a:ln>
        <a:effectLst/>
      </c:spPr>
    </c:plotArea>
    <c:legend>
      <c:legendPos val="r"/>
      <c:legendEntry>
        <c:idx val="4"/>
        <c:delete val="1"/>
      </c:legendEntry>
      <c:legendEntry>
        <c:idx val="5"/>
        <c:delete val="1"/>
      </c:legendEntry>
      <c:legendEntry>
        <c:idx val="6"/>
        <c:delete val="1"/>
      </c:legendEntry>
      <c:legendEntry>
        <c:idx val="10"/>
        <c:delete val="1"/>
      </c:legendEntry>
      <c:layout>
        <c:manualLayout>
          <c:xMode val="edge"/>
          <c:yMode val="edge"/>
          <c:x val="0.68949596152846004"/>
          <c:y val="0.27658760495413642"/>
          <c:w val="0.25793739409711175"/>
          <c:h val="0.4182969030875438"/>
        </c:manualLayout>
      </c:layout>
      <c:overlay val="0"/>
      <c:spPr>
        <a:solidFill>
          <a:schemeClr val="bg1"/>
        </a:solid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Buffer Width -</a:t>
            </a:r>
            <a:r>
              <a:rPr lang="en-US" baseline="0"/>
              <a:t> Commercial / Golf Course / Agriculture / Silviculture</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8321482541954983E-2"/>
          <c:y val="0.10697570056442131"/>
          <c:w val="0.60821267796070955"/>
          <c:h val="0.76142236078587944"/>
        </c:manualLayout>
      </c:layout>
      <c:scatterChart>
        <c:scatterStyle val="lineMarker"/>
        <c:varyColors val="0"/>
        <c:ser>
          <c:idx val="0"/>
          <c:order val="0"/>
          <c:tx>
            <c:v>Field &lt;5% OR 5-20% Slope</c:v>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og"/>
            <c:dispRSqr val="1"/>
            <c:dispEq val="1"/>
            <c:trendlineLbl>
              <c:layout>
                <c:manualLayout>
                  <c:x val="-0.54505420421658257"/>
                  <c:y val="8.5648724457825023E-2"/>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trendline>
            <c:spPr>
              <a:ln w="19050" cap="rnd">
                <a:solidFill>
                  <a:schemeClr val="accent1"/>
                </a:solidFill>
                <a:prstDash val="sysDot"/>
              </a:ln>
              <a:effectLst/>
            </c:spPr>
            <c:trendlineType val="log"/>
            <c:dispRSqr val="0"/>
            <c:dispEq val="1"/>
            <c:trendlineLbl>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trendline>
            <c:spPr>
              <a:ln w="19050" cap="rnd">
                <a:solidFill>
                  <a:schemeClr val="accent1"/>
                </a:solidFill>
                <a:prstDash val="sysDot"/>
              </a:ln>
              <a:effectLst/>
            </c:spPr>
            <c:trendlineType val="log"/>
            <c:dispRSqr val="0"/>
            <c:dispEq val="1"/>
            <c:trendlineLbl>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trendline>
            <c:spPr>
              <a:ln w="19050" cap="rnd">
                <a:solidFill>
                  <a:schemeClr val="accent1">
                    <a:lumMod val="75000"/>
                  </a:schemeClr>
                </a:solidFill>
                <a:prstDash val="sysDot"/>
              </a:ln>
              <a:effectLst/>
            </c:spPr>
            <c:trendlineType val="linear"/>
            <c:dispRSqr val="0"/>
            <c:dispEq val="1"/>
            <c:trendlineLbl>
              <c:layout>
                <c:manualLayout>
                  <c:x val="9.8228468487858908E-5"/>
                  <c:y val="2.2265688235472831E-2"/>
                </c:manualLayout>
              </c:layout>
              <c:numFmt formatCode="#,##0.0000" sourceLinked="0"/>
              <c:spPr>
                <a:noFill/>
                <a:ln>
                  <a:noFill/>
                </a:ln>
                <a:effectLst/>
              </c:spPr>
              <c:txPr>
                <a:bodyPr rot="0" spcFirstLastPara="1" vertOverflow="ellipsis" vert="horz" wrap="square" anchor="ctr" anchorCtr="1"/>
                <a:lstStyle/>
                <a:p>
                  <a:pPr>
                    <a:defRPr sz="1100" b="0" i="0" u="none" strike="noStrike" kern="1200" baseline="0">
                      <a:solidFill>
                        <a:schemeClr val="accent1">
                          <a:lumMod val="75000"/>
                        </a:schemeClr>
                      </a:solidFill>
                      <a:latin typeface="+mn-lt"/>
                      <a:ea typeface="+mn-ea"/>
                      <a:cs typeface="+mn-cs"/>
                    </a:defRPr>
                  </a:pPr>
                  <a:endParaRPr lang="en-US"/>
                </a:p>
              </c:txPr>
            </c:trendlineLbl>
          </c:trendline>
          <c:xVal>
            <c:numRef>
              <c:f>'Reference Curves'!$U$253:$Y$253</c:f>
              <c:numCache>
                <c:formatCode>General</c:formatCode>
                <c:ptCount val="5"/>
                <c:pt idx="0">
                  <c:v>0</c:v>
                </c:pt>
                <c:pt idx="4">
                  <c:v>150</c:v>
                </c:pt>
              </c:numCache>
            </c:numRef>
          </c:xVal>
          <c:yVal>
            <c:numRef>
              <c:f>'Reference Curves'!$U$257:$Y$257</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4-63BA-45F6-A941-47BDD3870A5E}"/>
            </c:ext>
          </c:extLst>
        </c:ser>
        <c:ser>
          <c:idx val="1"/>
          <c:order val="1"/>
          <c:tx>
            <c:v>Field &lt;5% OR 5-20% Slope</c:v>
          </c:tx>
          <c:spPr>
            <a:ln w="25400" cap="rnd">
              <a:noFill/>
              <a:round/>
            </a:ln>
            <a:effectLst/>
          </c:spPr>
          <c:marker>
            <c:symbol val="circle"/>
            <c:size val="5"/>
            <c:spPr>
              <a:solidFill>
                <a:schemeClr val="accent1">
                  <a:lumMod val="75000"/>
                </a:schemeClr>
              </a:solidFill>
              <a:ln w="9525">
                <a:noFill/>
              </a:ln>
              <a:effectLst/>
            </c:spPr>
          </c:marker>
          <c:trendline>
            <c:spPr>
              <a:ln w="19050" cap="rnd">
                <a:solidFill>
                  <a:srgbClr val="00B0F0"/>
                </a:solidFill>
                <a:prstDash val="sysDot"/>
              </a:ln>
              <a:effectLst/>
            </c:spPr>
            <c:trendlineType val="linear"/>
            <c:dispRSqr val="0"/>
            <c:dispEq val="1"/>
            <c:trendlineLbl>
              <c:layout>
                <c:manualLayout>
                  <c:x val="-9.6574924341806187E-2"/>
                  <c:y val="1.1277298172199713E-2"/>
                </c:manualLayout>
              </c:layout>
              <c:numFmt formatCode="#,##0.0000" sourceLinked="0"/>
              <c:spPr>
                <a:noFill/>
                <a:ln>
                  <a:noFill/>
                </a:ln>
                <a:effectLst/>
              </c:spPr>
              <c:txPr>
                <a:bodyPr rot="0" spcFirstLastPara="1" vertOverflow="ellipsis" vert="horz" wrap="square" anchor="ctr" anchorCtr="1"/>
                <a:lstStyle/>
                <a:p>
                  <a:pPr>
                    <a:defRPr sz="1100" b="0" i="0" u="none" strike="noStrike" kern="1200" baseline="0">
                      <a:solidFill>
                        <a:srgbClr val="00B0F0"/>
                      </a:solidFill>
                      <a:latin typeface="+mn-lt"/>
                      <a:ea typeface="+mn-ea"/>
                      <a:cs typeface="+mn-cs"/>
                    </a:defRPr>
                  </a:pPr>
                  <a:endParaRPr lang="en-US"/>
                </a:p>
              </c:txPr>
            </c:trendlineLbl>
          </c:trendline>
          <c:xVal>
            <c:numRef>
              <c:f>'Reference Curves'!$Y$253:$Z$253</c:f>
              <c:numCache>
                <c:formatCode>General</c:formatCode>
                <c:ptCount val="2"/>
                <c:pt idx="0">
                  <c:v>150</c:v>
                </c:pt>
                <c:pt idx="1">
                  <c:v>300</c:v>
                </c:pt>
              </c:numCache>
            </c:numRef>
          </c:xVal>
          <c:yVal>
            <c:numRef>
              <c:f>'Reference Curves'!$Y$257:$Z$257</c:f>
              <c:numCache>
                <c:formatCode>0.00</c:formatCode>
                <c:ptCount val="2"/>
                <c:pt idx="0">
                  <c:v>0.7</c:v>
                </c:pt>
                <c:pt idx="1">
                  <c:v>1</c:v>
                </c:pt>
              </c:numCache>
            </c:numRef>
          </c:yVal>
          <c:smooth val="0"/>
          <c:extLst xmlns:c15="http://schemas.microsoft.com/office/drawing/2012/chart">
            <c:ext xmlns:c16="http://schemas.microsoft.com/office/drawing/2014/chart" uri="{C3380CC4-5D6E-409C-BE32-E72D297353CC}">
              <c16:uniqueId val="{00000006-63BA-45F6-A941-47BDD3870A5E}"/>
            </c:ext>
          </c:extLst>
        </c:ser>
        <c:ser>
          <c:idx val="4"/>
          <c:order val="2"/>
          <c:tx>
            <c:strRef>
              <c:f>'Reference Curves'!$T$255</c:f>
              <c:strCache>
                <c:ptCount val="1"/>
                <c:pt idx="0">
                  <c:v>Buffer slope 21-40% </c:v>
                </c:pt>
              </c:strCache>
            </c:strRef>
          </c:tx>
          <c:spPr>
            <a:ln w="25400" cap="rnd">
              <a:noFill/>
              <a:round/>
            </a:ln>
            <a:effectLst/>
          </c:spPr>
          <c:marker>
            <c:symbol val="circle"/>
            <c:size val="5"/>
            <c:spPr>
              <a:solidFill>
                <a:schemeClr val="bg1">
                  <a:lumMod val="65000"/>
                </a:schemeClr>
              </a:solidFill>
              <a:ln w="9525">
                <a:noFill/>
              </a:ln>
              <a:effectLst/>
            </c:spPr>
          </c:marker>
          <c:trendline>
            <c:spPr>
              <a:ln w="19050" cap="rnd">
                <a:solidFill>
                  <a:schemeClr val="bg1">
                    <a:lumMod val="65000"/>
                  </a:schemeClr>
                </a:solidFill>
                <a:prstDash val="sysDot"/>
              </a:ln>
              <a:effectLst/>
            </c:spPr>
            <c:trendlineType val="linear"/>
            <c:forward val="120"/>
            <c:dispRSqr val="0"/>
            <c:dispEq val="1"/>
            <c:trendlineLbl>
              <c:layout>
                <c:manualLayout>
                  <c:x val="5.0523623596355823E-2"/>
                  <c:y val="3.9875091767601581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bg2">
                          <a:lumMod val="50000"/>
                        </a:schemeClr>
                      </a:solidFill>
                      <a:latin typeface="+mn-lt"/>
                      <a:ea typeface="+mn-ea"/>
                      <a:cs typeface="+mn-cs"/>
                    </a:defRPr>
                  </a:pPr>
                  <a:endParaRPr lang="en-US"/>
                </a:p>
              </c:txPr>
            </c:trendlineLbl>
          </c:trendline>
          <c:xVal>
            <c:numRef>
              <c:f>'Reference Curves'!$U$255:$Y$255</c:f>
              <c:numCache>
                <c:formatCode>General</c:formatCode>
                <c:ptCount val="5"/>
                <c:pt idx="0">
                  <c:v>0</c:v>
                </c:pt>
                <c:pt idx="4">
                  <c:v>225</c:v>
                </c:pt>
              </c:numCache>
            </c:numRef>
          </c:xVal>
          <c:yVal>
            <c:numRef>
              <c:f>'Reference Curves'!$U$257:$Y$257</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C-63BA-45F6-A941-47BDD3870A5E}"/>
            </c:ext>
          </c:extLst>
        </c:ser>
        <c:ser>
          <c:idx val="5"/>
          <c:order val="3"/>
          <c:tx>
            <c:strRef>
              <c:f>'Reference Curves'!$T$256</c:f>
              <c:strCache>
                <c:ptCount val="1"/>
                <c:pt idx="0">
                  <c:v>Buffer slope &gt;40% </c:v>
                </c:pt>
              </c:strCache>
            </c:strRef>
          </c:tx>
          <c:spPr>
            <a:ln w="25400" cap="rnd">
              <a:noFill/>
              <a:round/>
            </a:ln>
            <a:effectLst/>
          </c:spPr>
          <c:marker>
            <c:symbol val="circle"/>
            <c:size val="5"/>
            <c:spPr>
              <a:solidFill>
                <a:srgbClr val="00B050"/>
              </a:solidFill>
              <a:ln w="9525">
                <a:noFill/>
              </a:ln>
              <a:effectLst/>
            </c:spPr>
          </c:marker>
          <c:trendline>
            <c:spPr>
              <a:ln w="19050" cap="rnd">
                <a:solidFill>
                  <a:srgbClr val="00B050"/>
                </a:solidFill>
                <a:prstDash val="sysDot"/>
              </a:ln>
              <a:effectLst/>
            </c:spPr>
            <c:trendlineType val="linear"/>
            <c:forward val="140"/>
            <c:dispRSqr val="0"/>
            <c:dispEq val="1"/>
            <c:trendlineLbl>
              <c:layout>
                <c:manualLayout>
                  <c:x val="-6.5250327054558424E-2"/>
                  <c:y val="0.3278179058712673"/>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rgbClr val="00B050"/>
                      </a:solidFill>
                      <a:latin typeface="+mn-lt"/>
                      <a:ea typeface="+mn-ea"/>
                      <a:cs typeface="+mn-cs"/>
                    </a:defRPr>
                  </a:pPr>
                  <a:endParaRPr lang="en-US"/>
                </a:p>
              </c:txPr>
            </c:trendlineLbl>
          </c:trendline>
          <c:xVal>
            <c:numRef>
              <c:f>'Reference Curves'!$U$256:$Y$256</c:f>
              <c:numCache>
                <c:formatCode>General</c:formatCode>
                <c:ptCount val="5"/>
                <c:pt idx="0">
                  <c:v>0</c:v>
                </c:pt>
                <c:pt idx="4">
                  <c:v>300</c:v>
                </c:pt>
              </c:numCache>
            </c:numRef>
          </c:xVal>
          <c:yVal>
            <c:numRef>
              <c:f>'Reference Curves'!$U$257:$Y$257</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14-63BA-45F6-A941-47BDD3870A5E}"/>
            </c:ext>
          </c:extLst>
        </c:ser>
        <c:dLbls>
          <c:showLegendKey val="0"/>
          <c:showVal val="0"/>
          <c:showCatName val="0"/>
          <c:showSerName val="0"/>
          <c:showPercent val="0"/>
          <c:showBubbleSize val="0"/>
        </c:dLbls>
        <c:axId val="388311608"/>
        <c:axId val="388306120"/>
        <c:extLst/>
      </c:scatterChart>
      <c:valAx>
        <c:axId val="388311608"/>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(ft)</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8306120"/>
        <c:crosses val="autoZero"/>
        <c:crossBetween val="midCat"/>
      </c:valAx>
      <c:valAx>
        <c:axId val="388306120"/>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8311608"/>
        <c:crosses val="autoZero"/>
        <c:crossBetween val="midCat"/>
      </c:valAx>
      <c:spPr>
        <a:noFill/>
        <a:ln>
          <a:noFill/>
        </a:ln>
        <a:effectLst/>
      </c:spPr>
    </c:plotArea>
    <c:legend>
      <c:legendPos val="r"/>
      <c:legendEntry>
        <c:idx val="4"/>
        <c:delete val="1"/>
      </c:legendEntry>
      <c:legendEntry>
        <c:idx val="5"/>
        <c:delete val="1"/>
      </c:legendEntry>
      <c:legendEntry>
        <c:idx val="6"/>
        <c:delete val="1"/>
      </c:legendEntry>
      <c:layout>
        <c:manualLayout>
          <c:xMode val="edge"/>
          <c:yMode val="edge"/>
          <c:x val="0.70217052413902803"/>
          <c:y val="0.12644054840140431"/>
          <c:w val="0.28960008286663536"/>
          <c:h val="0.38937235523318919"/>
        </c:manualLayout>
      </c:layout>
      <c:overlay val="0"/>
      <c:spPr>
        <a:solidFill>
          <a:schemeClr val="bg1"/>
        </a:solid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Monoculture Area (%)</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v>Rising Limb</c:v>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poly"/>
            <c:order val="2"/>
            <c:dispRSqr val="0"/>
            <c:dispEq val="1"/>
            <c:trendlineLbl>
              <c:layout>
                <c:manualLayout>
                  <c:x val="-0.1133187614670487"/>
                  <c:y val="-0.49031652757096028"/>
                </c:manualLayout>
              </c:layout>
              <c:numFmt formatCode="#,##0.000000"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Curves'!$U$463:$Z$463</c:f>
              <c:numCache>
                <c:formatCode>General</c:formatCode>
                <c:ptCount val="6"/>
                <c:pt idx="0">
                  <c:v>100</c:v>
                </c:pt>
                <c:pt idx="5">
                  <c:v>0</c:v>
                </c:pt>
              </c:numCache>
            </c:numRef>
          </c:xVal>
          <c:yVal>
            <c:numRef>
              <c:f>'Reference Curves'!$U$464:$Z$464</c:f>
              <c:numCache>
                <c:formatCode>0.00</c:formatCode>
                <c:ptCount val="6"/>
                <c:pt idx="0">
                  <c:v>0</c:v>
                </c:pt>
                <c:pt idx="1">
                  <c:v>0.28999999999999998</c:v>
                </c:pt>
                <c:pt idx="2">
                  <c:v>0.3</c:v>
                </c:pt>
                <c:pt idx="3">
                  <c:v>0.69</c:v>
                </c:pt>
                <c:pt idx="4">
                  <c:v>0.7</c:v>
                </c:pt>
                <c:pt idx="5">
                  <c:v>1</c:v>
                </c:pt>
              </c:numCache>
            </c:numRef>
          </c:yVal>
          <c:smooth val="0"/>
          <c:extLst>
            <c:ext xmlns:c16="http://schemas.microsoft.com/office/drawing/2014/chart" uri="{C3380CC4-5D6E-409C-BE32-E72D297353CC}">
              <c16:uniqueId val="{00000001-1995-4D5D-B634-3A61BCBB8CC0}"/>
            </c:ext>
          </c:extLst>
        </c:ser>
        <c:dLbls>
          <c:showLegendKey val="0"/>
          <c:showVal val="0"/>
          <c:showCatName val="0"/>
          <c:showSerName val="0"/>
          <c:showPercent val="0"/>
          <c:showBubbleSize val="0"/>
        </c:dLbls>
        <c:axId val="385171208"/>
        <c:axId val="385166896"/>
      </c:scatterChart>
      <c:valAx>
        <c:axId val="385171208"/>
        <c:scaling>
          <c:orientation val="minMax"/>
          <c:max val="10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 %)</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166896"/>
        <c:crosses val="autoZero"/>
        <c:crossBetween val="midCat"/>
      </c:valAx>
      <c:valAx>
        <c:axId val="385166896"/>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171208"/>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SC BI Score - Bioassessment Class</a:t>
            </a:r>
            <a:r>
              <a:rPr lang="en-US" baseline="0"/>
              <a:t> 4</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strRef>
              <c:f>'Reference Curves'!$AO$218</c:f>
              <c:strCache>
                <c:ptCount val="1"/>
                <c:pt idx="0">
                  <c:v>NF/FAR</c:v>
                </c:pt>
              </c:strCache>
            </c:strRef>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0.26313760953063448"/>
                  <c:y val="0.19831467993031907"/>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1"/>
                      </a:solidFill>
                      <a:latin typeface="+mn-lt"/>
                      <a:ea typeface="+mn-ea"/>
                      <a:cs typeface="+mn-cs"/>
                    </a:defRPr>
                  </a:pPr>
                  <a:endParaRPr lang="en-US"/>
                </a:p>
              </c:txPr>
            </c:trendlineLbl>
          </c:trendline>
          <c:xVal>
            <c:numRef>
              <c:f>'Reference Curves'!$AO$214:$AS$214</c:f>
              <c:numCache>
                <c:formatCode>0.0</c:formatCode>
                <c:ptCount val="5"/>
                <c:pt idx="0" formatCode="0.000">
                  <c:v>-1</c:v>
                </c:pt>
                <c:pt idx="4" formatCode="0.000">
                  <c:v>0.3</c:v>
                </c:pt>
              </c:numCache>
            </c:numRef>
          </c:xVal>
          <c:yVal>
            <c:numRef>
              <c:f>'Reference Curves'!$AO$215:$AS$215</c:f>
              <c:numCache>
                <c:formatCode>0.00</c:formatCode>
                <c:ptCount val="5"/>
                <c:pt idx="0">
                  <c:v>0</c:v>
                </c:pt>
                <c:pt idx="1">
                  <c:v>0.28999999999999998</c:v>
                </c:pt>
                <c:pt idx="2">
                  <c:v>0.3</c:v>
                </c:pt>
                <c:pt idx="3">
                  <c:v>0.69</c:v>
                </c:pt>
                <c:pt idx="4">
                  <c:v>0.7</c:v>
                </c:pt>
              </c:numCache>
            </c:numRef>
          </c:yVal>
          <c:smooth val="0"/>
          <c:extLst>
            <c:ext xmlns:c16="http://schemas.microsoft.com/office/drawing/2014/chart" uri="{C3380CC4-5D6E-409C-BE32-E72D297353CC}">
              <c16:uniqueId val="{00000001-5142-4B17-A0E0-141968C3A94D}"/>
            </c:ext>
          </c:extLst>
        </c:ser>
        <c:ser>
          <c:idx val="2"/>
          <c:order val="1"/>
          <c:tx>
            <c:strRef>
              <c:f>'Reference Curves'!$AP$218</c:f>
              <c:strCache>
                <c:ptCount val="1"/>
                <c:pt idx="0">
                  <c:v>F</c:v>
                </c:pt>
              </c:strCache>
            </c:strRef>
          </c:tx>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dispRSqr val="0"/>
            <c:dispEq val="1"/>
            <c:trendlineLbl>
              <c:layout>
                <c:manualLayout>
                  <c:x val="-0.16896096096096097"/>
                  <c:y val="7.133200795228628E-2"/>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Curves'!$AS$214:$AT$214</c:f>
              <c:numCache>
                <c:formatCode>0.000</c:formatCode>
                <c:ptCount val="2"/>
                <c:pt idx="0">
                  <c:v>0.3</c:v>
                </c:pt>
                <c:pt idx="1">
                  <c:v>1</c:v>
                </c:pt>
              </c:numCache>
            </c:numRef>
          </c:xVal>
          <c:yVal>
            <c:numRef>
              <c:f>'Reference Curves'!$AS$215:$AT$215</c:f>
              <c:numCache>
                <c:formatCode>0.00</c:formatCode>
                <c:ptCount val="2"/>
                <c:pt idx="0">
                  <c:v>0.7</c:v>
                </c:pt>
                <c:pt idx="1">
                  <c:v>1</c:v>
                </c:pt>
              </c:numCache>
            </c:numRef>
          </c:yVal>
          <c:smooth val="0"/>
          <c:extLst>
            <c:ext xmlns:c16="http://schemas.microsoft.com/office/drawing/2014/chart" uri="{C3380CC4-5D6E-409C-BE32-E72D297353CC}">
              <c16:uniqueId val="{00000005-5142-4B17-A0E0-141968C3A94D}"/>
            </c:ext>
          </c:extLst>
        </c:ser>
        <c:dLbls>
          <c:showLegendKey val="0"/>
          <c:showVal val="0"/>
          <c:showCatName val="0"/>
          <c:showSerName val="0"/>
          <c:showPercent val="0"/>
          <c:showBubbleSize val="0"/>
        </c:dLbls>
        <c:axId val="385786752"/>
        <c:axId val="385788712"/>
      </c:scatterChart>
      <c:valAx>
        <c:axId val="385786752"/>
        <c:scaling>
          <c:orientation val="minMax"/>
          <c:max val="1"/>
          <c:min val="-1"/>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(Unitless)</a:t>
                </a:r>
              </a:p>
            </c:rich>
          </c:tx>
          <c:layout>
            <c:manualLayout>
              <c:xMode val="edge"/>
              <c:yMode val="edge"/>
              <c:x val="0.38947180261823755"/>
              <c:y val="0.94123923418599176"/>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788712"/>
        <c:crosses val="autoZero"/>
        <c:crossBetween val="midCat"/>
      </c:valAx>
      <c:valAx>
        <c:axId val="385788712"/>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layout>
            <c:manualLayout>
              <c:xMode val="edge"/>
              <c:yMode val="edge"/>
              <c:x val="1.1329934471941194E-2"/>
              <c:y val="0.43338961998950293"/>
            </c:manualLayout>
          </c:layout>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5786752"/>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TSS or Turbidity</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v>F/FAR</c:v>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0.10190438860692685"/>
                  <c:y val="-0.34569108702187806"/>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5"/>
                      </a:solidFill>
                      <a:latin typeface="+mn-lt"/>
                      <a:ea typeface="+mn-ea"/>
                      <a:cs typeface="+mn-cs"/>
                    </a:defRPr>
                  </a:pPr>
                  <a:endParaRPr lang="en-US"/>
                </a:p>
              </c:txPr>
            </c:trendlineLbl>
          </c:trendline>
          <c:xVal>
            <c:numRef>
              <c:f>'Reference Curves'!$AH$147:$AK$147</c:f>
              <c:numCache>
                <c:formatCode>0</c:formatCode>
                <c:ptCount val="4"/>
                <c:pt idx="0">
                  <c:v>50</c:v>
                </c:pt>
                <c:pt idx="3">
                  <c:v>10</c:v>
                </c:pt>
              </c:numCache>
            </c:numRef>
          </c:xVal>
          <c:yVal>
            <c:numRef>
              <c:f>'Reference Curves'!$AH$148:$AK$148</c:f>
              <c:numCache>
                <c:formatCode>0.00</c:formatCode>
                <c:ptCount val="4"/>
                <c:pt idx="0">
                  <c:v>0.3</c:v>
                </c:pt>
                <c:pt idx="1">
                  <c:v>0.69</c:v>
                </c:pt>
                <c:pt idx="2">
                  <c:v>0.7</c:v>
                </c:pt>
                <c:pt idx="3">
                  <c:v>1</c:v>
                </c:pt>
              </c:numCache>
            </c:numRef>
          </c:yVal>
          <c:smooth val="0"/>
          <c:extLst>
            <c:ext xmlns:c16="http://schemas.microsoft.com/office/drawing/2014/chart" uri="{C3380CC4-5D6E-409C-BE32-E72D297353CC}">
              <c16:uniqueId val="{00000001-DA29-440A-8DA9-63916C44275D}"/>
            </c:ext>
          </c:extLst>
        </c:ser>
        <c:ser>
          <c:idx val="1"/>
          <c:order val="1"/>
          <c:tx>
            <c:v>NF</c:v>
          </c:tx>
          <c:spPr>
            <a:ln w="25400" cap="rnd">
              <a:noFill/>
              <a:round/>
            </a:ln>
            <a:effectLst/>
          </c:spPr>
          <c:marker>
            <c:symbol val="circle"/>
            <c:size val="5"/>
            <c:spPr>
              <a:solidFill>
                <a:schemeClr val="accent2"/>
              </a:solidFill>
              <a:ln w="9525">
                <a:solidFill>
                  <a:schemeClr val="accent2"/>
                </a:solidFill>
              </a:ln>
              <a:effectLst/>
            </c:spPr>
          </c:marker>
          <c:trendline>
            <c:spPr>
              <a:ln w="19050" cap="rnd">
                <a:solidFill>
                  <a:schemeClr val="accent2"/>
                </a:solidFill>
                <a:prstDash val="sysDot"/>
              </a:ln>
              <a:effectLst/>
            </c:spPr>
            <c:trendlineType val="linear"/>
            <c:forward val="8.0000000000000016E-2"/>
            <c:dispRSqr val="0"/>
            <c:dispEq val="1"/>
            <c:trendlineLbl>
              <c:layout>
                <c:manualLayout>
                  <c:x val="5.4567793619000042E-2"/>
                  <c:y val="-0.1694267166436329"/>
                </c:manualLayout>
              </c:layout>
              <c:numFmt formatCode="General" sourceLinked="0"/>
              <c:spPr>
                <a:noFill/>
                <a:ln>
                  <a:noFill/>
                </a:ln>
                <a:effectLst/>
              </c:spPr>
              <c:txPr>
                <a:bodyPr rot="0" spcFirstLastPara="1" vertOverflow="ellipsis" vert="horz" wrap="square" anchor="ctr" anchorCtr="1"/>
                <a:lstStyle/>
                <a:p>
                  <a:pPr>
                    <a:defRPr sz="1100" b="0" i="0" u="none" strike="noStrike" kern="1200" baseline="0">
                      <a:solidFill>
                        <a:schemeClr val="accent2"/>
                      </a:solidFill>
                      <a:latin typeface="+mn-lt"/>
                      <a:ea typeface="+mn-ea"/>
                      <a:cs typeface="+mn-cs"/>
                    </a:defRPr>
                  </a:pPr>
                  <a:endParaRPr lang="en-US"/>
                </a:p>
              </c:txPr>
            </c:trendlineLbl>
          </c:trendline>
          <c:xVal>
            <c:numRef>
              <c:f>'Reference Curves'!$AF$147:$AH$147</c:f>
              <c:numCache>
                <c:formatCode>0</c:formatCode>
                <c:ptCount val="3"/>
                <c:pt idx="0">
                  <c:v>100</c:v>
                </c:pt>
                <c:pt idx="2">
                  <c:v>50</c:v>
                </c:pt>
              </c:numCache>
            </c:numRef>
          </c:xVal>
          <c:yVal>
            <c:numRef>
              <c:f>'Reference Curves'!$AF$148:$AH$148</c:f>
              <c:numCache>
                <c:formatCode>0.00</c:formatCode>
                <c:ptCount val="3"/>
                <c:pt idx="0">
                  <c:v>0</c:v>
                </c:pt>
                <c:pt idx="1">
                  <c:v>0.28999999999999998</c:v>
                </c:pt>
                <c:pt idx="2">
                  <c:v>0.3</c:v>
                </c:pt>
              </c:numCache>
            </c:numRef>
          </c:yVal>
          <c:smooth val="0"/>
          <c:extLst>
            <c:ext xmlns:c16="http://schemas.microsoft.com/office/drawing/2014/chart" uri="{C3380CC4-5D6E-409C-BE32-E72D297353CC}">
              <c16:uniqueId val="{00000003-DA29-440A-8DA9-63916C44275D}"/>
            </c:ext>
          </c:extLst>
        </c:ser>
        <c:dLbls>
          <c:showLegendKey val="0"/>
          <c:showVal val="0"/>
          <c:showCatName val="0"/>
          <c:showSerName val="0"/>
          <c:showPercent val="0"/>
          <c:showBubbleSize val="0"/>
        </c:dLbls>
        <c:axId val="386331552"/>
        <c:axId val="386337824"/>
      </c:scatterChart>
      <c:valAx>
        <c:axId val="386331552"/>
        <c:scaling>
          <c:orientation val="minMax"/>
          <c:min val="0"/>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Field Value (mg/L or</a:t>
                </a:r>
                <a:r>
                  <a:rPr lang="en-US" sz="1100" baseline="0"/>
                  <a:t> NTU</a:t>
                </a:r>
                <a:r>
                  <a:rPr lang="en-US" sz="1100"/>
                  <a:t>)</a:t>
                </a:r>
              </a:p>
            </c:rich>
          </c:tx>
          <c:overlay val="0"/>
          <c:spPr>
            <a:noFill/>
            <a:ln>
              <a:noFill/>
            </a:ln>
            <a:effectLst/>
          </c:spPr>
          <c:txPr>
            <a:bodyPr rot="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6337824"/>
        <c:crosses val="autoZero"/>
        <c:crossBetween val="midCat"/>
      </c:valAx>
      <c:valAx>
        <c:axId val="386337824"/>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r>
                  <a:rPr lang="en-US" sz="1100"/>
                  <a:t>Index Value</a:t>
                </a:r>
              </a:p>
            </c:rich>
          </c:tx>
          <c:overlay val="0"/>
          <c:spPr>
            <a:noFill/>
            <a:ln>
              <a:noFill/>
            </a:ln>
            <a:effectLst/>
          </c:spPr>
          <c:txPr>
            <a:bodyPr rot="-5400000" spcFirstLastPara="1" vertOverflow="ellipsis" vert="horz" wrap="square" anchor="ctr" anchorCtr="1"/>
            <a:lstStyle/>
            <a:p>
              <a:pPr>
                <a:defRPr sz="11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6331552"/>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3.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4.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5.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6.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7.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8.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9.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30.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3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3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33.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34.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35.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36.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37.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38.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39.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40.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4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4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43.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44.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45.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46.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47.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48.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49.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50.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5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5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53.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54.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55.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drawings/_rels/drawing2.xml.rels><?xml version="1.0" encoding="UTF-8" standalone="yes"?>
<Relationships xmlns="http://schemas.openxmlformats.org/package/2006/relationships"><Relationship Id="rId13" Type="http://schemas.openxmlformats.org/officeDocument/2006/relationships/chart" Target="../charts/chart13.xml"/><Relationship Id="rId18" Type="http://schemas.openxmlformats.org/officeDocument/2006/relationships/chart" Target="../charts/chart18.xml"/><Relationship Id="rId26" Type="http://schemas.openxmlformats.org/officeDocument/2006/relationships/chart" Target="../charts/chart26.xml"/><Relationship Id="rId39" Type="http://schemas.openxmlformats.org/officeDocument/2006/relationships/chart" Target="../charts/chart39.xml"/><Relationship Id="rId21" Type="http://schemas.openxmlformats.org/officeDocument/2006/relationships/chart" Target="../charts/chart21.xml"/><Relationship Id="rId34" Type="http://schemas.openxmlformats.org/officeDocument/2006/relationships/chart" Target="../charts/chart34.xml"/><Relationship Id="rId42" Type="http://schemas.openxmlformats.org/officeDocument/2006/relationships/chart" Target="../charts/chart42.xml"/><Relationship Id="rId47" Type="http://schemas.openxmlformats.org/officeDocument/2006/relationships/chart" Target="../charts/chart47.xml"/><Relationship Id="rId50" Type="http://schemas.openxmlformats.org/officeDocument/2006/relationships/chart" Target="../charts/chart50.xml"/><Relationship Id="rId55" Type="http://schemas.openxmlformats.org/officeDocument/2006/relationships/chart" Target="../charts/chart55.xml"/><Relationship Id="rId7" Type="http://schemas.openxmlformats.org/officeDocument/2006/relationships/chart" Target="../charts/chart7.xml"/><Relationship Id="rId2" Type="http://schemas.openxmlformats.org/officeDocument/2006/relationships/chart" Target="../charts/chart2.xml"/><Relationship Id="rId16" Type="http://schemas.openxmlformats.org/officeDocument/2006/relationships/chart" Target="../charts/chart16.xml"/><Relationship Id="rId29" Type="http://schemas.openxmlformats.org/officeDocument/2006/relationships/chart" Target="../charts/chart29.xml"/><Relationship Id="rId11" Type="http://schemas.openxmlformats.org/officeDocument/2006/relationships/chart" Target="../charts/chart11.xml"/><Relationship Id="rId24" Type="http://schemas.openxmlformats.org/officeDocument/2006/relationships/chart" Target="../charts/chart24.xml"/><Relationship Id="rId32" Type="http://schemas.openxmlformats.org/officeDocument/2006/relationships/chart" Target="../charts/chart32.xml"/><Relationship Id="rId37" Type="http://schemas.openxmlformats.org/officeDocument/2006/relationships/chart" Target="../charts/chart37.xml"/><Relationship Id="rId40" Type="http://schemas.openxmlformats.org/officeDocument/2006/relationships/chart" Target="../charts/chart40.xml"/><Relationship Id="rId45" Type="http://schemas.openxmlformats.org/officeDocument/2006/relationships/chart" Target="../charts/chart45.xml"/><Relationship Id="rId53" Type="http://schemas.openxmlformats.org/officeDocument/2006/relationships/chart" Target="../charts/chart53.xml"/><Relationship Id="rId58" Type="http://schemas.openxmlformats.org/officeDocument/2006/relationships/chart" Target="../charts/chart58.xml"/><Relationship Id="rId5" Type="http://schemas.openxmlformats.org/officeDocument/2006/relationships/chart" Target="../charts/chart5.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chart" Target="../charts/chart22.xml"/><Relationship Id="rId27" Type="http://schemas.openxmlformats.org/officeDocument/2006/relationships/chart" Target="../charts/chart27.xml"/><Relationship Id="rId30" Type="http://schemas.openxmlformats.org/officeDocument/2006/relationships/chart" Target="../charts/chart30.xml"/><Relationship Id="rId35" Type="http://schemas.openxmlformats.org/officeDocument/2006/relationships/chart" Target="../charts/chart35.xml"/><Relationship Id="rId43" Type="http://schemas.openxmlformats.org/officeDocument/2006/relationships/chart" Target="../charts/chart43.xml"/><Relationship Id="rId48" Type="http://schemas.openxmlformats.org/officeDocument/2006/relationships/chart" Target="../charts/chart48.xml"/><Relationship Id="rId56" Type="http://schemas.openxmlformats.org/officeDocument/2006/relationships/chart" Target="../charts/chart56.xml"/><Relationship Id="rId8" Type="http://schemas.openxmlformats.org/officeDocument/2006/relationships/chart" Target="../charts/chart8.xml"/><Relationship Id="rId51" Type="http://schemas.openxmlformats.org/officeDocument/2006/relationships/chart" Target="../charts/chart51.xml"/><Relationship Id="rId3" Type="http://schemas.openxmlformats.org/officeDocument/2006/relationships/chart" Target="../charts/chart3.xml"/><Relationship Id="rId12" Type="http://schemas.openxmlformats.org/officeDocument/2006/relationships/chart" Target="../charts/chart12.xml"/><Relationship Id="rId17" Type="http://schemas.openxmlformats.org/officeDocument/2006/relationships/chart" Target="../charts/chart17.xml"/><Relationship Id="rId25" Type="http://schemas.openxmlformats.org/officeDocument/2006/relationships/chart" Target="../charts/chart25.xml"/><Relationship Id="rId33" Type="http://schemas.openxmlformats.org/officeDocument/2006/relationships/chart" Target="../charts/chart33.xml"/><Relationship Id="rId38" Type="http://schemas.openxmlformats.org/officeDocument/2006/relationships/chart" Target="../charts/chart38.xml"/><Relationship Id="rId46" Type="http://schemas.openxmlformats.org/officeDocument/2006/relationships/chart" Target="../charts/chart46.xml"/><Relationship Id="rId20" Type="http://schemas.openxmlformats.org/officeDocument/2006/relationships/chart" Target="../charts/chart20.xml"/><Relationship Id="rId41" Type="http://schemas.openxmlformats.org/officeDocument/2006/relationships/chart" Target="../charts/chart41.xml"/><Relationship Id="rId54" Type="http://schemas.openxmlformats.org/officeDocument/2006/relationships/chart" Target="../charts/chart54.xml"/><Relationship Id="rId1" Type="http://schemas.openxmlformats.org/officeDocument/2006/relationships/chart" Target="../charts/chart1.xml"/><Relationship Id="rId6" Type="http://schemas.openxmlformats.org/officeDocument/2006/relationships/chart" Target="../charts/chart6.xml"/><Relationship Id="rId15" Type="http://schemas.openxmlformats.org/officeDocument/2006/relationships/chart" Target="../charts/chart15.xml"/><Relationship Id="rId23" Type="http://schemas.openxmlformats.org/officeDocument/2006/relationships/chart" Target="../charts/chart23.xml"/><Relationship Id="rId28" Type="http://schemas.openxmlformats.org/officeDocument/2006/relationships/chart" Target="../charts/chart28.xml"/><Relationship Id="rId36" Type="http://schemas.openxmlformats.org/officeDocument/2006/relationships/chart" Target="../charts/chart36.xml"/><Relationship Id="rId49" Type="http://schemas.openxmlformats.org/officeDocument/2006/relationships/chart" Target="../charts/chart49.xml"/><Relationship Id="rId57" Type="http://schemas.openxmlformats.org/officeDocument/2006/relationships/chart" Target="../charts/chart57.xml"/><Relationship Id="rId10" Type="http://schemas.openxmlformats.org/officeDocument/2006/relationships/chart" Target="../charts/chart10.xml"/><Relationship Id="rId31" Type="http://schemas.openxmlformats.org/officeDocument/2006/relationships/chart" Target="../charts/chart31.xml"/><Relationship Id="rId44" Type="http://schemas.openxmlformats.org/officeDocument/2006/relationships/chart" Target="../charts/chart44.xml"/><Relationship Id="rId52" Type="http://schemas.openxmlformats.org/officeDocument/2006/relationships/chart" Target="../charts/chart52.xml"/></Relationships>
</file>

<file path=xl/drawings/drawing1.xml><?xml version="1.0" encoding="utf-8"?>
<xdr:wsDr xmlns:xdr="http://schemas.openxmlformats.org/drawingml/2006/spreadsheetDrawing" xmlns:a="http://schemas.openxmlformats.org/drawingml/2006/main">
  <xdr:twoCellAnchor>
    <xdr:from>
      <xdr:col>0</xdr:col>
      <xdr:colOff>84454</xdr:colOff>
      <xdr:row>29</xdr:row>
      <xdr:rowOff>123824</xdr:rowOff>
    </xdr:from>
    <xdr:to>
      <xdr:col>8</xdr:col>
      <xdr:colOff>0</xdr:colOff>
      <xdr:row>31</xdr:row>
      <xdr:rowOff>88899</xdr:rowOff>
    </xdr:to>
    <xdr:sp macro="" textlink="">
      <xdr:nvSpPr>
        <xdr:cNvPr id="6" name="TextBox 5">
          <a:extLst>
            <a:ext uri="{FF2B5EF4-FFF2-40B4-BE49-F238E27FC236}">
              <a16:creationId xmlns:a16="http://schemas.microsoft.com/office/drawing/2014/main" id="{00000000-0008-0000-0000-000006000000}"/>
            </a:ext>
          </a:extLst>
        </xdr:cNvPr>
        <xdr:cNvSpPr txBox="1"/>
      </xdr:nvSpPr>
      <xdr:spPr>
        <a:xfrm>
          <a:off x="84454" y="6319837"/>
          <a:ext cx="7130734" cy="3270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US" sz="1300" b="1"/>
            <a:t>NOTICE: </a:t>
          </a:r>
          <a:r>
            <a:rPr lang="en-US" sz="1100" baseline="0"/>
            <a:t>If you find errors or problems, please contact </a:t>
          </a:r>
          <a:r>
            <a:rPr lang="en-US" sz="1100" u="sng">
              <a:solidFill>
                <a:sysClr val="windowText" lastClr="000000"/>
              </a:solidFill>
              <a:effectLst/>
              <a:latin typeface="+mn-lt"/>
              <a:ea typeface="+mn-ea"/>
              <a:cs typeface="+mn-cs"/>
              <a:hlinkClick xmlns:r="http://schemas.openxmlformats.org/officeDocument/2006/relationships" r:id="">
                <a:extLst>
                  <a:ext uri="{A12FA001-AC4F-418D-AE19-62706E023703}">
                    <ahyp:hlinkClr xmlns:ahyp="http://schemas.microsoft.com/office/drawing/2018/hyperlinkcolor" val="tx"/>
                  </a:ext>
                </a:extLst>
              </a:hlinkClick>
            </a:rPr>
            <a:t>environmental@dnr.sc.gov</a:t>
          </a:r>
          <a:r>
            <a:rPr lang="en-US" sz="1100" u="sng">
              <a:solidFill>
                <a:sysClr val="windowText" lastClr="000000"/>
              </a:solidFill>
              <a:effectLst/>
              <a:latin typeface="+mn-lt"/>
              <a:ea typeface="+mn-ea"/>
              <a:cs typeface="+mn-cs"/>
            </a:rPr>
            <a:t>.</a:t>
          </a:r>
          <a:r>
            <a:rPr lang="en-US" sz="1100">
              <a:solidFill>
                <a:sysClr val="windowText" lastClr="000000"/>
              </a:solidFill>
              <a:effectLst/>
              <a:latin typeface="+mn-lt"/>
              <a:ea typeface="+mn-ea"/>
              <a:cs typeface="+mn-cs"/>
            </a:rPr>
            <a:t> </a:t>
          </a:r>
        </a:p>
        <a:p>
          <a:endParaRPr lang="en-US" sz="1100" baseline="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10</xdr:col>
      <xdr:colOff>16329</xdr:colOff>
      <xdr:row>16</xdr:row>
      <xdr:rowOff>58512</xdr:rowOff>
    </xdr:from>
    <xdr:to>
      <xdr:col>16</xdr:col>
      <xdr:colOff>771525</xdr:colOff>
      <xdr:row>40</xdr:row>
      <xdr:rowOff>57149</xdr:rowOff>
    </xdr:to>
    <xdr:graphicFrame macro="">
      <xdr:nvGraphicFramePr>
        <xdr:cNvPr id="2" name="Chart 1">
          <a:extLst>
            <a:ext uri="{FF2B5EF4-FFF2-40B4-BE49-F238E27FC236}">
              <a16:creationId xmlns:a16="http://schemas.microsoft.com/office/drawing/2014/main" id="{00000000-0008-0000-04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46944</xdr:colOff>
      <xdr:row>50</xdr:row>
      <xdr:rowOff>55108</xdr:rowOff>
    </xdr:from>
    <xdr:to>
      <xdr:col>16</xdr:col>
      <xdr:colOff>790575</xdr:colOff>
      <xdr:row>74</xdr:row>
      <xdr:rowOff>9525</xdr:rowOff>
    </xdr:to>
    <xdr:graphicFrame macro="">
      <xdr:nvGraphicFramePr>
        <xdr:cNvPr id="3" name="Chart 2">
          <a:extLst>
            <a:ext uri="{FF2B5EF4-FFF2-40B4-BE49-F238E27FC236}">
              <a16:creationId xmlns:a16="http://schemas.microsoft.com/office/drawing/2014/main" id="{00000000-0008-0000-04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10</xdr:col>
      <xdr:colOff>63954</xdr:colOff>
      <xdr:row>118</xdr:row>
      <xdr:rowOff>99331</xdr:rowOff>
    </xdr:from>
    <xdr:to>
      <xdr:col>16</xdr:col>
      <xdr:colOff>742950</xdr:colOff>
      <xdr:row>141</xdr:row>
      <xdr:rowOff>114300</xdr:rowOff>
    </xdr:to>
    <xdr:graphicFrame macro="">
      <xdr:nvGraphicFramePr>
        <xdr:cNvPr id="4" name="Chart 3">
          <a:extLst>
            <a:ext uri="{FF2B5EF4-FFF2-40B4-BE49-F238E27FC236}">
              <a16:creationId xmlns:a16="http://schemas.microsoft.com/office/drawing/2014/main" id="{00000000-0008-0000-04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19</xdr:col>
      <xdr:colOff>39460</xdr:colOff>
      <xdr:row>16</xdr:row>
      <xdr:rowOff>44903</xdr:rowOff>
    </xdr:from>
    <xdr:to>
      <xdr:col>25</xdr:col>
      <xdr:colOff>771525</xdr:colOff>
      <xdr:row>40</xdr:row>
      <xdr:rowOff>57150</xdr:rowOff>
    </xdr:to>
    <xdr:graphicFrame macro="">
      <xdr:nvGraphicFramePr>
        <xdr:cNvPr id="5" name="Chart 4">
          <a:extLst>
            <a:ext uri="{FF2B5EF4-FFF2-40B4-BE49-F238E27FC236}">
              <a16:creationId xmlns:a16="http://schemas.microsoft.com/office/drawing/2014/main" id="{00000000-0008-0000-04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19</xdr:col>
      <xdr:colOff>134028</xdr:colOff>
      <xdr:row>504</xdr:row>
      <xdr:rowOff>48306</xdr:rowOff>
    </xdr:from>
    <xdr:to>
      <xdr:col>25</xdr:col>
      <xdr:colOff>790575</xdr:colOff>
      <xdr:row>527</xdr:row>
      <xdr:rowOff>95250</xdr:rowOff>
    </xdr:to>
    <xdr:graphicFrame macro="">
      <xdr:nvGraphicFramePr>
        <xdr:cNvPr id="9" name="Chart 8">
          <a:extLst>
            <a:ext uri="{FF2B5EF4-FFF2-40B4-BE49-F238E27FC236}">
              <a16:creationId xmlns:a16="http://schemas.microsoft.com/office/drawing/2014/main" id="{00000000-0008-0000-04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19</xdr:col>
      <xdr:colOff>122464</xdr:colOff>
      <xdr:row>536</xdr:row>
      <xdr:rowOff>59190</xdr:rowOff>
    </xdr:from>
    <xdr:to>
      <xdr:col>25</xdr:col>
      <xdr:colOff>809625</xdr:colOff>
      <xdr:row>558</xdr:row>
      <xdr:rowOff>133350</xdr:rowOff>
    </xdr:to>
    <xdr:graphicFrame macro="">
      <xdr:nvGraphicFramePr>
        <xdr:cNvPr id="10" name="Chart 9">
          <a:extLst>
            <a:ext uri="{FF2B5EF4-FFF2-40B4-BE49-F238E27FC236}">
              <a16:creationId xmlns:a16="http://schemas.microsoft.com/office/drawing/2014/main" id="{00000000-0008-0000-04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19</xdr:col>
      <xdr:colOff>30480</xdr:colOff>
      <xdr:row>569</xdr:row>
      <xdr:rowOff>46671</xdr:rowOff>
    </xdr:from>
    <xdr:to>
      <xdr:col>25</xdr:col>
      <xdr:colOff>800100</xdr:colOff>
      <xdr:row>593</xdr:row>
      <xdr:rowOff>161925</xdr:rowOff>
    </xdr:to>
    <xdr:graphicFrame macro="">
      <xdr:nvGraphicFramePr>
        <xdr:cNvPr id="11" name="Chart 10">
          <a:extLst>
            <a:ext uri="{FF2B5EF4-FFF2-40B4-BE49-F238E27FC236}">
              <a16:creationId xmlns:a16="http://schemas.microsoft.com/office/drawing/2014/main" id="{00000000-0008-0000-04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19</xdr:col>
      <xdr:colOff>65770</xdr:colOff>
      <xdr:row>636</xdr:row>
      <xdr:rowOff>78469</xdr:rowOff>
    </xdr:from>
    <xdr:to>
      <xdr:col>25</xdr:col>
      <xdr:colOff>733425</xdr:colOff>
      <xdr:row>659</xdr:row>
      <xdr:rowOff>38100</xdr:rowOff>
    </xdr:to>
    <xdr:graphicFrame macro="">
      <xdr:nvGraphicFramePr>
        <xdr:cNvPr id="13" name="Chart 12">
          <a:extLst>
            <a:ext uri="{FF2B5EF4-FFF2-40B4-BE49-F238E27FC236}">
              <a16:creationId xmlns:a16="http://schemas.microsoft.com/office/drawing/2014/main" id="{00000000-0008-0000-04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19</xdr:col>
      <xdr:colOff>19051</xdr:colOff>
      <xdr:row>669</xdr:row>
      <xdr:rowOff>152399</xdr:rowOff>
    </xdr:from>
    <xdr:to>
      <xdr:col>25</xdr:col>
      <xdr:colOff>704850</xdr:colOff>
      <xdr:row>693</xdr:row>
      <xdr:rowOff>0</xdr:rowOff>
    </xdr:to>
    <xdr:graphicFrame macro="">
      <xdr:nvGraphicFramePr>
        <xdr:cNvPr id="14" name="Chart 13">
          <a:extLst>
            <a:ext uri="{FF2B5EF4-FFF2-40B4-BE49-F238E27FC236}">
              <a16:creationId xmlns:a16="http://schemas.microsoft.com/office/drawing/2014/main" id="{00000000-0008-0000-0400-00000E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19</xdr:col>
      <xdr:colOff>67356</xdr:colOff>
      <xdr:row>703</xdr:row>
      <xdr:rowOff>78240</xdr:rowOff>
    </xdr:from>
    <xdr:to>
      <xdr:col>25</xdr:col>
      <xdr:colOff>691243</xdr:colOff>
      <xdr:row>725</xdr:row>
      <xdr:rowOff>9525</xdr:rowOff>
    </xdr:to>
    <xdr:graphicFrame macro="">
      <xdr:nvGraphicFramePr>
        <xdr:cNvPr id="15" name="Chart 14">
          <a:extLst>
            <a:ext uri="{FF2B5EF4-FFF2-40B4-BE49-F238E27FC236}">
              <a16:creationId xmlns:a16="http://schemas.microsoft.com/office/drawing/2014/main" id="{00000000-0008-0000-0400-00000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19</xdr:col>
      <xdr:colOff>40822</xdr:colOff>
      <xdr:row>771</xdr:row>
      <xdr:rowOff>82322</xdr:rowOff>
    </xdr:from>
    <xdr:to>
      <xdr:col>25</xdr:col>
      <xdr:colOff>704850</xdr:colOff>
      <xdr:row>794</xdr:row>
      <xdr:rowOff>104775</xdr:rowOff>
    </xdr:to>
    <xdr:graphicFrame macro="">
      <xdr:nvGraphicFramePr>
        <xdr:cNvPr id="17" name="Chart 16">
          <a:extLst>
            <a:ext uri="{FF2B5EF4-FFF2-40B4-BE49-F238E27FC236}">
              <a16:creationId xmlns:a16="http://schemas.microsoft.com/office/drawing/2014/main" id="{00000000-0008-0000-0400-00001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19</xdr:col>
      <xdr:colOff>61231</xdr:colOff>
      <xdr:row>716</xdr:row>
      <xdr:rowOff>0</xdr:rowOff>
    </xdr:from>
    <xdr:to>
      <xdr:col>30</xdr:col>
      <xdr:colOff>0</xdr:colOff>
      <xdr:row>716</xdr:row>
      <xdr:rowOff>0</xdr:rowOff>
    </xdr:to>
    <xdr:graphicFrame macro="">
      <xdr:nvGraphicFramePr>
        <xdr:cNvPr id="18" name="Chart 17">
          <a:extLst>
            <a:ext uri="{FF2B5EF4-FFF2-40B4-BE49-F238E27FC236}">
              <a16:creationId xmlns:a16="http://schemas.microsoft.com/office/drawing/2014/main" id="{00000000-0008-0000-04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19</xdr:col>
      <xdr:colOff>112939</xdr:colOff>
      <xdr:row>805</xdr:row>
      <xdr:rowOff>74839</xdr:rowOff>
    </xdr:from>
    <xdr:to>
      <xdr:col>25</xdr:col>
      <xdr:colOff>733425</xdr:colOff>
      <xdr:row>828</xdr:row>
      <xdr:rowOff>161925</xdr:rowOff>
    </xdr:to>
    <xdr:graphicFrame macro="">
      <xdr:nvGraphicFramePr>
        <xdr:cNvPr id="19" name="Chart 18">
          <a:extLst>
            <a:ext uri="{FF2B5EF4-FFF2-40B4-BE49-F238E27FC236}">
              <a16:creationId xmlns:a16="http://schemas.microsoft.com/office/drawing/2014/main" id="{00000000-0008-0000-04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19</xdr:col>
      <xdr:colOff>61232</xdr:colOff>
      <xdr:row>749</xdr:row>
      <xdr:rowOff>0</xdr:rowOff>
    </xdr:from>
    <xdr:to>
      <xdr:col>30</xdr:col>
      <xdr:colOff>0</xdr:colOff>
      <xdr:row>749</xdr:row>
      <xdr:rowOff>0</xdr:rowOff>
    </xdr:to>
    <xdr:graphicFrame macro="">
      <xdr:nvGraphicFramePr>
        <xdr:cNvPr id="20" name="Chart 19">
          <a:extLst>
            <a:ext uri="{FF2B5EF4-FFF2-40B4-BE49-F238E27FC236}">
              <a16:creationId xmlns:a16="http://schemas.microsoft.com/office/drawing/2014/main" id="{00000000-0008-0000-04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19</xdr:col>
      <xdr:colOff>85725</xdr:colOff>
      <xdr:row>363</xdr:row>
      <xdr:rowOff>57150</xdr:rowOff>
    </xdr:from>
    <xdr:to>
      <xdr:col>25</xdr:col>
      <xdr:colOff>723900</xdr:colOff>
      <xdr:row>389</xdr:row>
      <xdr:rowOff>66675</xdr:rowOff>
    </xdr:to>
    <xdr:graphicFrame macro="">
      <xdr:nvGraphicFramePr>
        <xdr:cNvPr id="24" name="Chart 23">
          <a:extLst>
            <a:ext uri="{FF2B5EF4-FFF2-40B4-BE49-F238E27FC236}">
              <a16:creationId xmlns:a16="http://schemas.microsoft.com/office/drawing/2014/main" id="{00000000-0008-0000-0400-00001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30</xdr:col>
      <xdr:colOff>85045</xdr:colOff>
      <xdr:row>78</xdr:row>
      <xdr:rowOff>0</xdr:rowOff>
    </xdr:from>
    <xdr:to>
      <xdr:col>37</xdr:col>
      <xdr:colOff>66675</xdr:colOff>
      <xdr:row>78</xdr:row>
      <xdr:rowOff>0</xdr:rowOff>
    </xdr:to>
    <xdr:graphicFrame macro="">
      <xdr:nvGraphicFramePr>
        <xdr:cNvPr id="31" name="Chart 30">
          <a:extLst>
            <a:ext uri="{FF2B5EF4-FFF2-40B4-BE49-F238E27FC236}">
              <a16:creationId xmlns:a16="http://schemas.microsoft.com/office/drawing/2014/main" id="{00000000-0008-0000-0400-00001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39</xdr:col>
      <xdr:colOff>38101</xdr:colOff>
      <xdr:row>117</xdr:row>
      <xdr:rowOff>118382</xdr:rowOff>
    </xdr:from>
    <xdr:to>
      <xdr:col>45</xdr:col>
      <xdr:colOff>742951</xdr:colOff>
      <xdr:row>142</xdr:row>
      <xdr:rowOff>85725</xdr:rowOff>
    </xdr:to>
    <xdr:graphicFrame macro="">
      <xdr:nvGraphicFramePr>
        <xdr:cNvPr id="33" name="Chart 32">
          <a:extLst>
            <a:ext uri="{FF2B5EF4-FFF2-40B4-BE49-F238E27FC236}">
              <a16:creationId xmlns:a16="http://schemas.microsoft.com/office/drawing/2014/main" id="{00000000-0008-0000-0400-00002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39</xdr:col>
      <xdr:colOff>130630</xdr:colOff>
      <xdr:row>152</xdr:row>
      <xdr:rowOff>104776</xdr:rowOff>
    </xdr:from>
    <xdr:to>
      <xdr:col>45</xdr:col>
      <xdr:colOff>723900</xdr:colOff>
      <xdr:row>176</xdr:row>
      <xdr:rowOff>85725</xdr:rowOff>
    </xdr:to>
    <xdr:graphicFrame macro="">
      <xdr:nvGraphicFramePr>
        <xdr:cNvPr id="34" name="Chart 33">
          <a:extLst>
            <a:ext uri="{FF2B5EF4-FFF2-40B4-BE49-F238E27FC236}">
              <a16:creationId xmlns:a16="http://schemas.microsoft.com/office/drawing/2014/main" id="{00000000-0008-0000-0400-00002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39</xdr:col>
      <xdr:colOff>76199</xdr:colOff>
      <xdr:row>186</xdr:row>
      <xdr:rowOff>123825</xdr:rowOff>
    </xdr:from>
    <xdr:to>
      <xdr:col>45</xdr:col>
      <xdr:colOff>638174</xdr:colOff>
      <xdr:row>210</xdr:row>
      <xdr:rowOff>142875</xdr:rowOff>
    </xdr:to>
    <xdr:graphicFrame macro="">
      <xdr:nvGraphicFramePr>
        <xdr:cNvPr id="35" name="Chart 34">
          <a:extLst>
            <a:ext uri="{FF2B5EF4-FFF2-40B4-BE49-F238E27FC236}">
              <a16:creationId xmlns:a16="http://schemas.microsoft.com/office/drawing/2014/main" id="{00000000-0008-0000-04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19</xdr:col>
      <xdr:colOff>57149</xdr:colOff>
      <xdr:row>85</xdr:row>
      <xdr:rowOff>153079</xdr:rowOff>
    </xdr:from>
    <xdr:to>
      <xdr:col>25</xdr:col>
      <xdr:colOff>707571</xdr:colOff>
      <xdr:row>108</xdr:row>
      <xdr:rowOff>108857</xdr:rowOff>
    </xdr:to>
    <xdr:graphicFrame macro="">
      <xdr:nvGraphicFramePr>
        <xdr:cNvPr id="37" name="Chart 36">
          <a:extLst>
            <a:ext uri="{FF2B5EF4-FFF2-40B4-BE49-F238E27FC236}">
              <a16:creationId xmlns:a16="http://schemas.microsoft.com/office/drawing/2014/main" id="{00000000-0008-0000-0400-00002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30</xdr:col>
      <xdr:colOff>57150</xdr:colOff>
      <xdr:row>17</xdr:row>
      <xdr:rowOff>37147</xdr:rowOff>
    </xdr:from>
    <xdr:to>
      <xdr:col>36</xdr:col>
      <xdr:colOff>733425</xdr:colOff>
      <xdr:row>40</xdr:row>
      <xdr:rowOff>171450</xdr:rowOff>
    </xdr:to>
    <xdr:graphicFrame macro="">
      <xdr:nvGraphicFramePr>
        <xdr:cNvPr id="40" name="Chart 39">
          <a:extLst>
            <a:ext uri="{FF2B5EF4-FFF2-40B4-BE49-F238E27FC236}">
              <a16:creationId xmlns:a16="http://schemas.microsoft.com/office/drawing/2014/main" id="{00000000-0008-0000-0400-00002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19</xdr:col>
      <xdr:colOff>142874</xdr:colOff>
      <xdr:row>450</xdr:row>
      <xdr:rowOff>0</xdr:rowOff>
    </xdr:from>
    <xdr:to>
      <xdr:col>30</xdr:col>
      <xdr:colOff>0</xdr:colOff>
      <xdr:row>450</xdr:row>
      <xdr:rowOff>0</xdr:rowOff>
    </xdr:to>
    <xdr:graphicFrame macro="">
      <xdr:nvGraphicFramePr>
        <xdr:cNvPr id="42" name="Chart 41">
          <a:extLst>
            <a:ext uri="{FF2B5EF4-FFF2-40B4-BE49-F238E27FC236}">
              <a16:creationId xmlns:a16="http://schemas.microsoft.com/office/drawing/2014/main" id="{00000000-0008-0000-0400-00002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2"/>
        </a:graphicData>
      </a:graphic>
    </xdr:graphicFrame>
    <xdr:clientData/>
  </xdr:twoCellAnchor>
  <xdr:twoCellAnchor>
    <xdr:from>
      <xdr:col>19</xdr:col>
      <xdr:colOff>70757</xdr:colOff>
      <xdr:row>839</xdr:row>
      <xdr:rowOff>80962</xdr:rowOff>
    </xdr:from>
    <xdr:to>
      <xdr:col>25</xdr:col>
      <xdr:colOff>733425</xdr:colOff>
      <xdr:row>861</xdr:row>
      <xdr:rowOff>180975</xdr:rowOff>
    </xdr:to>
    <xdr:graphicFrame macro="">
      <xdr:nvGraphicFramePr>
        <xdr:cNvPr id="44" name="Chart 43">
          <a:extLst>
            <a:ext uri="{FF2B5EF4-FFF2-40B4-BE49-F238E27FC236}">
              <a16:creationId xmlns:a16="http://schemas.microsoft.com/office/drawing/2014/main" id="{00000000-0008-0000-0400-00002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30</xdr:col>
      <xdr:colOff>24494</xdr:colOff>
      <xdr:row>119</xdr:row>
      <xdr:rowOff>64635</xdr:rowOff>
    </xdr:from>
    <xdr:to>
      <xdr:col>36</xdr:col>
      <xdr:colOff>676275</xdr:colOff>
      <xdr:row>143</xdr:row>
      <xdr:rowOff>95250</xdr:rowOff>
    </xdr:to>
    <xdr:graphicFrame macro="">
      <xdr:nvGraphicFramePr>
        <xdr:cNvPr id="50" name="Chart 49">
          <a:extLst>
            <a:ext uri="{FF2B5EF4-FFF2-40B4-BE49-F238E27FC236}">
              <a16:creationId xmlns:a16="http://schemas.microsoft.com/office/drawing/2014/main" id="{00000000-0008-0000-0400-00003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twoCellAnchor>
    <xdr:from>
      <xdr:col>30</xdr:col>
      <xdr:colOff>24494</xdr:colOff>
      <xdr:row>86</xdr:row>
      <xdr:rowOff>64635</xdr:rowOff>
    </xdr:from>
    <xdr:to>
      <xdr:col>36</xdr:col>
      <xdr:colOff>723900</xdr:colOff>
      <xdr:row>108</xdr:row>
      <xdr:rowOff>171450</xdr:rowOff>
    </xdr:to>
    <xdr:graphicFrame macro="">
      <xdr:nvGraphicFramePr>
        <xdr:cNvPr id="51" name="Chart 50">
          <a:extLst>
            <a:ext uri="{FF2B5EF4-FFF2-40B4-BE49-F238E27FC236}">
              <a16:creationId xmlns:a16="http://schemas.microsoft.com/office/drawing/2014/main" id="{00000000-0008-0000-0400-00003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5"/>
        </a:graphicData>
      </a:graphic>
    </xdr:graphicFrame>
    <xdr:clientData/>
  </xdr:twoCellAnchor>
  <xdr:twoCellAnchor>
    <xdr:from>
      <xdr:col>30</xdr:col>
      <xdr:colOff>0</xdr:colOff>
      <xdr:row>78</xdr:row>
      <xdr:rowOff>0</xdr:rowOff>
    </xdr:from>
    <xdr:to>
      <xdr:col>37</xdr:col>
      <xdr:colOff>234043</xdr:colOff>
      <xdr:row>78</xdr:row>
      <xdr:rowOff>0</xdr:rowOff>
    </xdr:to>
    <xdr:graphicFrame macro="">
      <xdr:nvGraphicFramePr>
        <xdr:cNvPr id="54" name="Chart 53">
          <a:extLst>
            <a:ext uri="{FF2B5EF4-FFF2-40B4-BE49-F238E27FC236}">
              <a16:creationId xmlns:a16="http://schemas.microsoft.com/office/drawing/2014/main" id="{00000000-0008-0000-0400-00003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6"/>
        </a:graphicData>
      </a:graphic>
    </xdr:graphicFrame>
    <xdr:clientData/>
  </xdr:twoCellAnchor>
  <xdr:twoCellAnchor>
    <xdr:from>
      <xdr:col>30</xdr:col>
      <xdr:colOff>0</xdr:colOff>
      <xdr:row>78</xdr:row>
      <xdr:rowOff>0</xdr:rowOff>
    </xdr:from>
    <xdr:to>
      <xdr:col>37</xdr:col>
      <xdr:colOff>193221</xdr:colOff>
      <xdr:row>78</xdr:row>
      <xdr:rowOff>0</xdr:rowOff>
    </xdr:to>
    <xdr:graphicFrame macro="">
      <xdr:nvGraphicFramePr>
        <xdr:cNvPr id="56" name="Chart 55">
          <a:extLst>
            <a:ext uri="{FF2B5EF4-FFF2-40B4-BE49-F238E27FC236}">
              <a16:creationId xmlns:a16="http://schemas.microsoft.com/office/drawing/2014/main" id="{00000000-0008-0000-0400-00003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7"/>
        </a:graphicData>
      </a:graphic>
    </xdr:graphicFrame>
    <xdr:clientData/>
  </xdr:twoCellAnchor>
  <xdr:twoCellAnchor>
    <xdr:from>
      <xdr:col>30</xdr:col>
      <xdr:colOff>131790</xdr:colOff>
      <xdr:row>50</xdr:row>
      <xdr:rowOff>76519</xdr:rowOff>
    </xdr:from>
    <xdr:to>
      <xdr:col>36</xdr:col>
      <xdr:colOff>817629</xdr:colOff>
      <xdr:row>76</xdr:row>
      <xdr:rowOff>115100</xdr:rowOff>
    </xdr:to>
    <xdr:graphicFrame macro="">
      <xdr:nvGraphicFramePr>
        <xdr:cNvPr id="59" name="Chart 58">
          <a:extLst>
            <a:ext uri="{FF2B5EF4-FFF2-40B4-BE49-F238E27FC236}">
              <a16:creationId xmlns:a16="http://schemas.microsoft.com/office/drawing/2014/main" id="{00000000-0008-0000-0400-00003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8"/>
        </a:graphicData>
      </a:graphic>
    </xdr:graphicFrame>
    <xdr:clientData/>
  </xdr:twoCellAnchor>
  <xdr:twoCellAnchor>
    <xdr:from>
      <xdr:col>19</xdr:col>
      <xdr:colOff>29935</xdr:colOff>
      <xdr:row>119</xdr:row>
      <xdr:rowOff>75879</xdr:rowOff>
    </xdr:from>
    <xdr:to>
      <xdr:col>25</xdr:col>
      <xdr:colOff>771524</xdr:colOff>
      <xdr:row>142</xdr:row>
      <xdr:rowOff>112619</xdr:rowOff>
    </xdr:to>
    <xdr:graphicFrame macro="">
      <xdr:nvGraphicFramePr>
        <xdr:cNvPr id="60" name="Chart 59">
          <a:extLst>
            <a:ext uri="{FF2B5EF4-FFF2-40B4-BE49-F238E27FC236}">
              <a16:creationId xmlns:a16="http://schemas.microsoft.com/office/drawing/2014/main" id="{00000000-0008-0000-0400-00003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9"/>
        </a:graphicData>
      </a:graphic>
    </xdr:graphicFrame>
    <xdr:clientData/>
  </xdr:twoCellAnchor>
  <xdr:twoCellAnchor>
    <xdr:from>
      <xdr:col>18</xdr:col>
      <xdr:colOff>190501</xdr:colOff>
      <xdr:row>190</xdr:row>
      <xdr:rowOff>38460</xdr:rowOff>
    </xdr:from>
    <xdr:to>
      <xdr:col>27</xdr:col>
      <xdr:colOff>667870</xdr:colOff>
      <xdr:row>213</xdr:row>
      <xdr:rowOff>55469</xdr:rowOff>
    </xdr:to>
    <xdr:graphicFrame macro="">
      <xdr:nvGraphicFramePr>
        <xdr:cNvPr id="57" name="Chart 56">
          <a:extLst>
            <a:ext uri="{FF2B5EF4-FFF2-40B4-BE49-F238E27FC236}">
              <a16:creationId xmlns:a16="http://schemas.microsoft.com/office/drawing/2014/main" id="{00000000-0008-0000-0400-00003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0"/>
        </a:graphicData>
      </a:graphic>
    </xdr:graphicFrame>
    <xdr:clientData/>
  </xdr:twoCellAnchor>
  <xdr:twoCellAnchor>
    <xdr:from>
      <xdr:col>19</xdr:col>
      <xdr:colOff>19732</xdr:colOff>
      <xdr:row>330</xdr:row>
      <xdr:rowOff>58071</xdr:rowOff>
    </xdr:from>
    <xdr:to>
      <xdr:col>25</xdr:col>
      <xdr:colOff>771526</xdr:colOff>
      <xdr:row>353</xdr:row>
      <xdr:rowOff>75640</xdr:rowOff>
    </xdr:to>
    <xdr:graphicFrame macro="">
      <xdr:nvGraphicFramePr>
        <xdr:cNvPr id="58" name="Chart 57">
          <a:extLst>
            <a:ext uri="{FF2B5EF4-FFF2-40B4-BE49-F238E27FC236}">
              <a16:creationId xmlns:a16="http://schemas.microsoft.com/office/drawing/2014/main" id="{00000000-0008-0000-0400-00003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1"/>
        </a:graphicData>
      </a:graphic>
    </xdr:graphicFrame>
    <xdr:clientData/>
  </xdr:twoCellAnchor>
  <xdr:twoCellAnchor>
    <xdr:from>
      <xdr:col>39</xdr:col>
      <xdr:colOff>104776</xdr:colOff>
      <xdr:row>85</xdr:row>
      <xdr:rowOff>57150</xdr:rowOff>
    </xdr:from>
    <xdr:to>
      <xdr:col>45</xdr:col>
      <xdr:colOff>657226</xdr:colOff>
      <xdr:row>107</xdr:row>
      <xdr:rowOff>38100</xdr:rowOff>
    </xdr:to>
    <xdr:graphicFrame macro="">
      <xdr:nvGraphicFramePr>
        <xdr:cNvPr id="61" name="Chart 60">
          <a:extLst>
            <a:ext uri="{FF2B5EF4-FFF2-40B4-BE49-F238E27FC236}">
              <a16:creationId xmlns:a16="http://schemas.microsoft.com/office/drawing/2014/main" id="{00000000-0008-0000-0400-00003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2"/>
        </a:graphicData>
      </a:graphic>
    </xdr:graphicFrame>
    <xdr:clientData/>
  </xdr:twoCellAnchor>
  <xdr:twoCellAnchor>
    <xdr:from>
      <xdr:col>30</xdr:col>
      <xdr:colOff>0</xdr:colOff>
      <xdr:row>78</xdr:row>
      <xdr:rowOff>0</xdr:rowOff>
    </xdr:from>
    <xdr:to>
      <xdr:col>37</xdr:col>
      <xdr:colOff>193221</xdr:colOff>
      <xdr:row>78</xdr:row>
      <xdr:rowOff>0</xdr:rowOff>
    </xdr:to>
    <xdr:graphicFrame macro="">
      <xdr:nvGraphicFramePr>
        <xdr:cNvPr id="55" name="Chart 54">
          <a:extLst>
            <a:ext uri="{FF2B5EF4-FFF2-40B4-BE49-F238E27FC236}">
              <a16:creationId xmlns:a16="http://schemas.microsoft.com/office/drawing/2014/main" id="{00000000-0008-0000-0400-00003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3"/>
        </a:graphicData>
      </a:graphic>
    </xdr:graphicFrame>
    <xdr:clientData/>
  </xdr:twoCellAnchor>
  <xdr:twoCellAnchor>
    <xdr:from>
      <xdr:col>30</xdr:col>
      <xdr:colOff>0</xdr:colOff>
      <xdr:row>78</xdr:row>
      <xdr:rowOff>0</xdr:rowOff>
    </xdr:from>
    <xdr:to>
      <xdr:col>37</xdr:col>
      <xdr:colOff>211590</xdr:colOff>
      <xdr:row>78</xdr:row>
      <xdr:rowOff>0</xdr:rowOff>
    </xdr:to>
    <xdr:graphicFrame macro="">
      <xdr:nvGraphicFramePr>
        <xdr:cNvPr id="65" name="Chart 64">
          <a:extLst>
            <a:ext uri="{FF2B5EF4-FFF2-40B4-BE49-F238E27FC236}">
              <a16:creationId xmlns:a16="http://schemas.microsoft.com/office/drawing/2014/main" id="{00000000-0008-0000-0400-000041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4"/>
        </a:graphicData>
      </a:graphic>
    </xdr:graphicFrame>
    <xdr:clientData/>
  </xdr:twoCellAnchor>
  <xdr:twoCellAnchor>
    <xdr:from>
      <xdr:col>30</xdr:col>
      <xdr:colOff>86406</xdr:colOff>
      <xdr:row>78</xdr:row>
      <xdr:rowOff>0</xdr:rowOff>
    </xdr:from>
    <xdr:to>
      <xdr:col>37</xdr:col>
      <xdr:colOff>190500</xdr:colOff>
      <xdr:row>78</xdr:row>
      <xdr:rowOff>0</xdr:rowOff>
    </xdr:to>
    <xdr:graphicFrame macro="">
      <xdr:nvGraphicFramePr>
        <xdr:cNvPr id="66" name="Chart 65">
          <a:extLst>
            <a:ext uri="{FF2B5EF4-FFF2-40B4-BE49-F238E27FC236}">
              <a16:creationId xmlns:a16="http://schemas.microsoft.com/office/drawing/2014/main" id="{00000000-0008-0000-0400-00004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5"/>
        </a:graphicData>
      </a:graphic>
    </xdr:graphicFrame>
    <xdr:clientData/>
  </xdr:twoCellAnchor>
  <xdr:twoCellAnchor>
    <xdr:from>
      <xdr:col>30</xdr:col>
      <xdr:colOff>29256</xdr:colOff>
      <xdr:row>78</xdr:row>
      <xdr:rowOff>0</xdr:rowOff>
    </xdr:from>
    <xdr:to>
      <xdr:col>37</xdr:col>
      <xdr:colOff>200025</xdr:colOff>
      <xdr:row>78</xdr:row>
      <xdr:rowOff>0</xdr:rowOff>
    </xdr:to>
    <xdr:graphicFrame macro="">
      <xdr:nvGraphicFramePr>
        <xdr:cNvPr id="67" name="Chart 66">
          <a:extLst>
            <a:ext uri="{FF2B5EF4-FFF2-40B4-BE49-F238E27FC236}">
              <a16:creationId xmlns:a16="http://schemas.microsoft.com/office/drawing/2014/main" id="{00000000-0008-0000-0400-00004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6"/>
        </a:graphicData>
      </a:graphic>
    </xdr:graphicFrame>
    <xdr:clientData/>
  </xdr:twoCellAnchor>
  <xdr:twoCellAnchor>
    <xdr:from>
      <xdr:col>30</xdr:col>
      <xdr:colOff>29256</xdr:colOff>
      <xdr:row>78</xdr:row>
      <xdr:rowOff>0</xdr:rowOff>
    </xdr:from>
    <xdr:to>
      <xdr:col>37</xdr:col>
      <xdr:colOff>266700</xdr:colOff>
      <xdr:row>78</xdr:row>
      <xdr:rowOff>0</xdr:rowOff>
    </xdr:to>
    <xdr:graphicFrame macro="">
      <xdr:nvGraphicFramePr>
        <xdr:cNvPr id="68" name="Chart 67">
          <a:extLst>
            <a:ext uri="{FF2B5EF4-FFF2-40B4-BE49-F238E27FC236}">
              <a16:creationId xmlns:a16="http://schemas.microsoft.com/office/drawing/2014/main" id="{00000000-0008-0000-0400-00004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7"/>
        </a:graphicData>
      </a:graphic>
    </xdr:graphicFrame>
    <xdr:clientData/>
  </xdr:twoCellAnchor>
  <xdr:twoCellAnchor>
    <xdr:from>
      <xdr:col>30</xdr:col>
      <xdr:colOff>29256</xdr:colOff>
      <xdr:row>78</xdr:row>
      <xdr:rowOff>0</xdr:rowOff>
    </xdr:from>
    <xdr:to>
      <xdr:col>37</xdr:col>
      <xdr:colOff>285750</xdr:colOff>
      <xdr:row>78</xdr:row>
      <xdr:rowOff>0</xdr:rowOff>
    </xdr:to>
    <xdr:graphicFrame macro="">
      <xdr:nvGraphicFramePr>
        <xdr:cNvPr id="69" name="Chart 68">
          <a:extLst>
            <a:ext uri="{FF2B5EF4-FFF2-40B4-BE49-F238E27FC236}">
              <a16:creationId xmlns:a16="http://schemas.microsoft.com/office/drawing/2014/main" id="{00000000-0008-0000-0400-00004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8"/>
        </a:graphicData>
      </a:graphic>
    </xdr:graphicFrame>
    <xdr:clientData/>
  </xdr:twoCellAnchor>
  <xdr:twoCellAnchor>
    <xdr:from>
      <xdr:col>30</xdr:col>
      <xdr:colOff>10206</xdr:colOff>
      <xdr:row>78</xdr:row>
      <xdr:rowOff>0</xdr:rowOff>
    </xdr:from>
    <xdr:to>
      <xdr:col>37</xdr:col>
      <xdr:colOff>266700</xdr:colOff>
      <xdr:row>78</xdr:row>
      <xdr:rowOff>0</xdr:rowOff>
    </xdr:to>
    <xdr:graphicFrame macro="">
      <xdr:nvGraphicFramePr>
        <xdr:cNvPr id="70" name="Chart 69">
          <a:extLst>
            <a:ext uri="{FF2B5EF4-FFF2-40B4-BE49-F238E27FC236}">
              <a16:creationId xmlns:a16="http://schemas.microsoft.com/office/drawing/2014/main" id="{00000000-0008-0000-0400-00004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9"/>
        </a:graphicData>
      </a:graphic>
    </xdr:graphicFrame>
    <xdr:clientData/>
  </xdr:twoCellAnchor>
  <xdr:twoCellAnchor>
    <xdr:from>
      <xdr:col>1</xdr:col>
      <xdr:colOff>38553</xdr:colOff>
      <xdr:row>16</xdr:row>
      <xdr:rowOff>29938</xdr:rowOff>
    </xdr:from>
    <xdr:to>
      <xdr:col>7</xdr:col>
      <xdr:colOff>781050</xdr:colOff>
      <xdr:row>39</xdr:row>
      <xdr:rowOff>123826</xdr:rowOff>
    </xdr:to>
    <xdr:graphicFrame macro="">
      <xdr:nvGraphicFramePr>
        <xdr:cNvPr id="71" name="Chart 70">
          <a:extLst>
            <a:ext uri="{FF2B5EF4-FFF2-40B4-BE49-F238E27FC236}">
              <a16:creationId xmlns:a16="http://schemas.microsoft.com/office/drawing/2014/main" id="{00000000-0008-0000-0400-00004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0"/>
        </a:graphicData>
      </a:graphic>
    </xdr:graphicFrame>
    <xdr:clientData/>
  </xdr:twoCellAnchor>
  <xdr:twoCellAnchor>
    <xdr:from>
      <xdr:col>1</xdr:col>
      <xdr:colOff>36032</xdr:colOff>
      <xdr:row>49</xdr:row>
      <xdr:rowOff>84848</xdr:rowOff>
    </xdr:from>
    <xdr:to>
      <xdr:col>7</xdr:col>
      <xdr:colOff>752475</xdr:colOff>
      <xdr:row>72</xdr:row>
      <xdr:rowOff>172292</xdr:rowOff>
    </xdr:to>
    <xdr:graphicFrame macro="">
      <xdr:nvGraphicFramePr>
        <xdr:cNvPr id="72" name="Chart 71">
          <a:extLst>
            <a:ext uri="{FF2B5EF4-FFF2-40B4-BE49-F238E27FC236}">
              <a16:creationId xmlns:a16="http://schemas.microsoft.com/office/drawing/2014/main" id="{00000000-0008-0000-0400-00004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1"/>
        </a:graphicData>
      </a:graphic>
    </xdr:graphicFrame>
    <xdr:clientData/>
  </xdr:twoCellAnchor>
  <xdr:twoCellAnchor>
    <xdr:from>
      <xdr:col>18</xdr:col>
      <xdr:colOff>67235</xdr:colOff>
      <xdr:row>226</xdr:row>
      <xdr:rowOff>74519</xdr:rowOff>
    </xdr:from>
    <xdr:to>
      <xdr:col>27</xdr:col>
      <xdr:colOff>500063</xdr:colOff>
      <xdr:row>249</xdr:row>
      <xdr:rowOff>96290</xdr:rowOff>
    </xdr:to>
    <xdr:graphicFrame macro="">
      <xdr:nvGraphicFramePr>
        <xdr:cNvPr id="75" name="Chart 74">
          <a:extLst>
            <a:ext uri="{FF2B5EF4-FFF2-40B4-BE49-F238E27FC236}">
              <a16:creationId xmlns:a16="http://schemas.microsoft.com/office/drawing/2014/main" id="{08B9708C-F9B0-43ED-85D7-175E6192229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2"/>
        </a:graphicData>
      </a:graphic>
    </xdr:graphicFrame>
    <xdr:clientData/>
  </xdr:twoCellAnchor>
  <xdr:twoCellAnchor>
    <xdr:from>
      <xdr:col>19</xdr:col>
      <xdr:colOff>0</xdr:colOff>
      <xdr:row>51</xdr:row>
      <xdr:rowOff>0</xdr:rowOff>
    </xdr:from>
    <xdr:to>
      <xdr:col>25</xdr:col>
      <xdr:colOff>732065</xdr:colOff>
      <xdr:row>75</xdr:row>
      <xdr:rowOff>12247</xdr:rowOff>
    </xdr:to>
    <xdr:graphicFrame macro="">
      <xdr:nvGraphicFramePr>
        <xdr:cNvPr id="76" name="Chart 75">
          <a:extLst>
            <a:ext uri="{FF2B5EF4-FFF2-40B4-BE49-F238E27FC236}">
              <a16:creationId xmlns:a16="http://schemas.microsoft.com/office/drawing/2014/main" id="{8A4643A7-97FA-43D2-BF70-16B94EFFBBD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3"/>
        </a:graphicData>
      </a:graphic>
    </xdr:graphicFrame>
    <xdr:clientData/>
  </xdr:twoCellAnchor>
  <xdr:twoCellAnchor>
    <xdr:from>
      <xdr:col>19</xdr:col>
      <xdr:colOff>142874</xdr:colOff>
      <xdr:row>146</xdr:row>
      <xdr:rowOff>0</xdr:rowOff>
    </xdr:from>
    <xdr:to>
      <xdr:col>28</xdr:col>
      <xdr:colOff>170088</xdr:colOff>
      <xdr:row>146</xdr:row>
      <xdr:rowOff>0</xdr:rowOff>
    </xdr:to>
    <xdr:graphicFrame macro="">
      <xdr:nvGraphicFramePr>
        <xdr:cNvPr id="73" name="Chart 72">
          <a:extLst>
            <a:ext uri="{FF2B5EF4-FFF2-40B4-BE49-F238E27FC236}">
              <a16:creationId xmlns:a16="http://schemas.microsoft.com/office/drawing/2014/main" id="{2F5962C2-608F-4DC8-A026-43EC7B6558D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4"/>
        </a:graphicData>
      </a:graphic>
    </xdr:graphicFrame>
    <xdr:clientData/>
  </xdr:twoCellAnchor>
  <xdr:twoCellAnchor>
    <xdr:from>
      <xdr:col>19</xdr:col>
      <xdr:colOff>28669</xdr:colOff>
      <xdr:row>151</xdr:row>
      <xdr:rowOff>40472</xdr:rowOff>
    </xdr:from>
    <xdr:to>
      <xdr:col>25</xdr:col>
      <xdr:colOff>771525</xdr:colOff>
      <xdr:row>174</xdr:row>
      <xdr:rowOff>172130</xdr:rowOff>
    </xdr:to>
    <xdr:graphicFrame macro="">
      <xdr:nvGraphicFramePr>
        <xdr:cNvPr id="77" name="Chart 76">
          <a:extLst>
            <a:ext uri="{FF2B5EF4-FFF2-40B4-BE49-F238E27FC236}">
              <a16:creationId xmlns:a16="http://schemas.microsoft.com/office/drawing/2014/main" id="{D33E891B-56EB-4C45-8E51-D8CA238B306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5"/>
        </a:graphicData>
      </a:graphic>
    </xdr:graphicFrame>
    <xdr:clientData/>
  </xdr:twoCellAnchor>
  <xdr:twoCellAnchor>
    <xdr:from>
      <xdr:col>10</xdr:col>
      <xdr:colOff>46944</xdr:colOff>
      <xdr:row>83</xdr:row>
      <xdr:rowOff>55108</xdr:rowOff>
    </xdr:from>
    <xdr:to>
      <xdr:col>16</xdr:col>
      <xdr:colOff>781050</xdr:colOff>
      <xdr:row>107</xdr:row>
      <xdr:rowOff>9525</xdr:rowOff>
    </xdr:to>
    <xdr:graphicFrame macro="">
      <xdr:nvGraphicFramePr>
        <xdr:cNvPr id="78" name="Chart 77">
          <a:extLst>
            <a:ext uri="{FF2B5EF4-FFF2-40B4-BE49-F238E27FC236}">
              <a16:creationId xmlns:a16="http://schemas.microsoft.com/office/drawing/2014/main" id="{D9A8CDE9-F849-403F-96C9-43EB292C582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6"/>
        </a:graphicData>
      </a:graphic>
    </xdr:graphicFrame>
    <xdr:clientData/>
  </xdr:twoCellAnchor>
  <xdr:twoCellAnchor>
    <xdr:from>
      <xdr:col>10</xdr:col>
      <xdr:colOff>40141</xdr:colOff>
      <xdr:row>152</xdr:row>
      <xdr:rowOff>46943</xdr:rowOff>
    </xdr:from>
    <xdr:to>
      <xdr:col>16</xdr:col>
      <xdr:colOff>733425</xdr:colOff>
      <xdr:row>175</xdr:row>
      <xdr:rowOff>57150</xdr:rowOff>
    </xdr:to>
    <xdr:graphicFrame macro="">
      <xdr:nvGraphicFramePr>
        <xdr:cNvPr id="79" name="Chart 78">
          <a:extLst>
            <a:ext uri="{FF2B5EF4-FFF2-40B4-BE49-F238E27FC236}">
              <a16:creationId xmlns:a16="http://schemas.microsoft.com/office/drawing/2014/main" id="{E6343B57-95E9-456A-BF0C-40D77B53CFD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7"/>
        </a:graphicData>
      </a:graphic>
    </xdr:graphicFrame>
    <xdr:clientData/>
  </xdr:twoCellAnchor>
  <xdr:twoCellAnchor>
    <xdr:from>
      <xdr:col>19</xdr:col>
      <xdr:colOff>85725</xdr:colOff>
      <xdr:row>398</xdr:row>
      <xdr:rowOff>57150</xdr:rowOff>
    </xdr:from>
    <xdr:to>
      <xdr:col>25</xdr:col>
      <xdr:colOff>723900</xdr:colOff>
      <xdr:row>424</xdr:row>
      <xdr:rowOff>66675</xdr:rowOff>
    </xdr:to>
    <xdr:graphicFrame macro="">
      <xdr:nvGraphicFramePr>
        <xdr:cNvPr id="62" name="Chart 61">
          <a:extLst>
            <a:ext uri="{FF2B5EF4-FFF2-40B4-BE49-F238E27FC236}">
              <a16:creationId xmlns:a16="http://schemas.microsoft.com/office/drawing/2014/main" id="{480CAA14-F366-40A5-843C-2DC30C9BA71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8"/>
        </a:graphicData>
      </a:graphic>
    </xdr:graphicFrame>
    <xdr:clientData/>
  </xdr:twoCellAnchor>
  <xdr:twoCellAnchor>
    <xdr:from>
      <xdr:col>19</xdr:col>
      <xdr:colOff>85725</xdr:colOff>
      <xdr:row>433</xdr:row>
      <xdr:rowOff>57150</xdr:rowOff>
    </xdr:from>
    <xdr:to>
      <xdr:col>25</xdr:col>
      <xdr:colOff>723900</xdr:colOff>
      <xdr:row>459</xdr:row>
      <xdr:rowOff>66675</xdr:rowOff>
    </xdr:to>
    <xdr:graphicFrame macro="">
      <xdr:nvGraphicFramePr>
        <xdr:cNvPr id="74" name="Chart 73">
          <a:extLst>
            <a:ext uri="{FF2B5EF4-FFF2-40B4-BE49-F238E27FC236}">
              <a16:creationId xmlns:a16="http://schemas.microsoft.com/office/drawing/2014/main" id="{CFCBBD92-A97D-44F3-80F1-C3F918D242C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9"/>
        </a:graphicData>
      </a:graphic>
    </xdr:graphicFrame>
    <xdr:clientData/>
  </xdr:twoCellAnchor>
  <xdr:twoCellAnchor>
    <xdr:from>
      <xdr:col>38</xdr:col>
      <xdr:colOff>138111</xdr:colOff>
      <xdr:row>16</xdr:row>
      <xdr:rowOff>85725</xdr:rowOff>
    </xdr:from>
    <xdr:to>
      <xdr:col>45</xdr:col>
      <xdr:colOff>714374</xdr:colOff>
      <xdr:row>39</xdr:row>
      <xdr:rowOff>147638</xdr:rowOff>
    </xdr:to>
    <xdr:graphicFrame macro="">
      <xdr:nvGraphicFramePr>
        <xdr:cNvPr id="85" name="Chart 84">
          <a:extLst>
            <a:ext uri="{FF2B5EF4-FFF2-40B4-BE49-F238E27FC236}">
              <a16:creationId xmlns:a16="http://schemas.microsoft.com/office/drawing/2014/main" id="{17760284-B29F-400A-A409-029D83E3D94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0"/>
        </a:graphicData>
      </a:graphic>
    </xdr:graphicFrame>
    <xdr:clientData/>
  </xdr:twoCellAnchor>
  <xdr:twoCellAnchor>
    <xdr:from>
      <xdr:col>39</xdr:col>
      <xdr:colOff>33339</xdr:colOff>
      <xdr:row>51</xdr:row>
      <xdr:rowOff>76200</xdr:rowOff>
    </xdr:from>
    <xdr:to>
      <xdr:col>45</xdr:col>
      <xdr:colOff>585789</xdr:colOff>
      <xdr:row>73</xdr:row>
      <xdr:rowOff>57150</xdr:rowOff>
    </xdr:to>
    <xdr:graphicFrame macro="">
      <xdr:nvGraphicFramePr>
        <xdr:cNvPr id="86" name="Chart 85">
          <a:extLst>
            <a:ext uri="{FF2B5EF4-FFF2-40B4-BE49-F238E27FC236}">
              <a16:creationId xmlns:a16="http://schemas.microsoft.com/office/drawing/2014/main" id="{4B33ED43-B910-4ABA-AD3F-3E1B129F0EF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1"/>
        </a:graphicData>
      </a:graphic>
    </xdr:graphicFrame>
    <xdr:clientData/>
  </xdr:twoCellAnchor>
  <xdr:twoCellAnchor>
    <xdr:from>
      <xdr:col>19</xdr:col>
      <xdr:colOff>65770</xdr:colOff>
      <xdr:row>603</xdr:row>
      <xdr:rowOff>78469</xdr:rowOff>
    </xdr:from>
    <xdr:to>
      <xdr:col>25</xdr:col>
      <xdr:colOff>733425</xdr:colOff>
      <xdr:row>626</xdr:row>
      <xdr:rowOff>38100</xdr:rowOff>
    </xdr:to>
    <xdr:graphicFrame macro="">
      <xdr:nvGraphicFramePr>
        <xdr:cNvPr id="81" name="Chart 80">
          <a:extLst>
            <a:ext uri="{FF2B5EF4-FFF2-40B4-BE49-F238E27FC236}">
              <a16:creationId xmlns:a16="http://schemas.microsoft.com/office/drawing/2014/main" id="{60FDF079-A1A7-448C-850C-7F303A3F88C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2"/>
        </a:graphicData>
      </a:graphic>
    </xdr:graphicFrame>
    <xdr:clientData/>
  </xdr:twoCellAnchor>
  <xdr:twoCellAnchor>
    <xdr:from>
      <xdr:col>19</xdr:col>
      <xdr:colOff>40822</xdr:colOff>
      <xdr:row>737</xdr:row>
      <xdr:rowOff>82322</xdr:rowOff>
    </xdr:from>
    <xdr:to>
      <xdr:col>25</xdr:col>
      <xdr:colOff>704850</xdr:colOff>
      <xdr:row>760</xdr:row>
      <xdr:rowOff>104775</xdr:rowOff>
    </xdr:to>
    <xdr:graphicFrame macro="">
      <xdr:nvGraphicFramePr>
        <xdr:cNvPr id="87" name="Chart 86">
          <a:extLst>
            <a:ext uri="{FF2B5EF4-FFF2-40B4-BE49-F238E27FC236}">
              <a16:creationId xmlns:a16="http://schemas.microsoft.com/office/drawing/2014/main" id="{BB74B6ED-5440-44F0-B65D-E61B0FE8817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3"/>
        </a:graphicData>
      </a:graphic>
    </xdr:graphicFrame>
    <xdr:clientData/>
  </xdr:twoCellAnchor>
  <xdr:twoCellAnchor>
    <xdr:from>
      <xdr:col>19</xdr:col>
      <xdr:colOff>75638</xdr:colOff>
      <xdr:row>299</xdr:row>
      <xdr:rowOff>29696</xdr:rowOff>
    </xdr:from>
    <xdr:to>
      <xdr:col>27</xdr:col>
      <xdr:colOff>409575</xdr:colOff>
      <xdr:row>322</xdr:row>
      <xdr:rowOff>40262</xdr:rowOff>
    </xdr:to>
    <xdr:graphicFrame macro="">
      <xdr:nvGraphicFramePr>
        <xdr:cNvPr id="89" name="Chart 88">
          <a:extLst>
            <a:ext uri="{FF2B5EF4-FFF2-40B4-BE49-F238E27FC236}">
              <a16:creationId xmlns:a16="http://schemas.microsoft.com/office/drawing/2014/main" id="{C193C6A6-E296-4EDC-A85E-67D0206B7DC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4"/>
        </a:graphicData>
      </a:graphic>
    </xdr:graphicFrame>
    <xdr:clientData/>
  </xdr:twoCellAnchor>
  <xdr:twoCellAnchor>
    <xdr:from>
      <xdr:col>18</xdr:col>
      <xdr:colOff>300037</xdr:colOff>
      <xdr:row>263</xdr:row>
      <xdr:rowOff>14288</xdr:rowOff>
    </xdr:from>
    <xdr:to>
      <xdr:col>27</xdr:col>
      <xdr:colOff>490538</xdr:colOff>
      <xdr:row>286</xdr:row>
      <xdr:rowOff>36059</xdr:rowOff>
    </xdr:to>
    <xdr:graphicFrame macro="">
      <xdr:nvGraphicFramePr>
        <xdr:cNvPr id="80" name="Chart 79">
          <a:extLst>
            <a:ext uri="{FF2B5EF4-FFF2-40B4-BE49-F238E27FC236}">
              <a16:creationId xmlns:a16="http://schemas.microsoft.com/office/drawing/2014/main" id="{D496FFD7-5447-42BC-81B5-F0160D29DEE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5"/>
        </a:graphicData>
      </a:graphic>
    </xdr:graphicFrame>
    <xdr:clientData/>
  </xdr:twoCellAnchor>
  <xdr:twoCellAnchor>
    <xdr:from>
      <xdr:col>19</xdr:col>
      <xdr:colOff>0</xdr:colOff>
      <xdr:row>468</xdr:row>
      <xdr:rowOff>0</xdr:rowOff>
    </xdr:from>
    <xdr:to>
      <xdr:col>25</xdr:col>
      <xdr:colOff>638175</xdr:colOff>
      <xdr:row>494</xdr:row>
      <xdr:rowOff>31937</xdr:rowOff>
    </xdr:to>
    <xdr:graphicFrame macro="">
      <xdr:nvGraphicFramePr>
        <xdr:cNvPr id="88" name="Chart 87">
          <a:extLst>
            <a:ext uri="{FF2B5EF4-FFF2-40B4-BE49-F238E27FC236}">
              <a16:creationId xmlns:a16="http://schemas.microsoft.com/office/drawing/2014/main" id="{7F682EBA-6BE5-4FF9-8BA4-9E772066875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6"/>
        </a:graphicData>
      </a:graphic>
    </xdr:graphicFrame>
    <xdr:clientData/>
  </xdr:twoCellAnchor>
  <xdr:twoCellAnchor>
    <xdr:from>
      <xdr:col>39</xdr:col>
      <xdr:colOff>76199</xdr:colOff>
      <xdr:row>220</xdr:row>
      <xdr:rowOff>123825</xdr:rowOff>
    </xdr:from>
    <xdr:to>
      <xdr:col>45</xdr:col>
      <xdr:colOff>638174</xdr:colOff>
      <xdr:row>244</xdr:row>
      <xdr:rowOff>142875</xdr:rowOff>
    </xdr:to>
    <xdr:graphicFrame macro="">
      <xdr:nvGraphicFramePr>
        <xdr:cNvPr id="63" name="Chart 62">
          <a:extLst>
            <a:ext uri="{FF2B5EF4-FFF2-40B4-BE49-F238E27FC236}">
              <a16:creationId xmlns:a16="http://schemas.microsoft.com/office/drawing/2014/main" id="{F6D4B0E9-045C-45ED-946D-E605DB41B19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7"/>
        </a:graphicData>
      </a:graphic>
    </xdr:graphicFrame>
    <xdr:clientData/>
  </xdr:twoCellAnchor>
  <xdr:twoCellAnchor>
    <xdr:from>
      <xdr:col>30</xdr:col>
      <xdr:colOff>24494</xdr:colOff>
      <xdr:row>153</xdr:row>
      <xdr:rowOff>64635</xdr:rowOff>
    </xdr:from>
    <xdr:to>
      <xdr:col>36</xdr:col>
      <xdr:colOff>676275</xdr:colOff>
      <xdr:row>177</xdr:row>
      <xdr:rowOff>95250</xdr:rowOff>
    </xdr:to>
    <xdr:graphicFrame macro="">
      <xdr:nvGraphicFramePr>
        <xdr:cNvPr id="6" name="Chart 5">
          <a:extLst>
            <a:ext uri="{FF2B5EF4-FFF2-40B4-BE49-F238E27FC236}">
              <a16:creationId xmlns:a16="http://schemas.microsoft.com/office/drawing/2014/main" id="{BFB8E264-4789-4EA0-BEE1-A9DCD442F0B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8"/>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0.4848</cdr:x>
      <cdr:y>0.15234</cdr:y>
    </cdr:from>
    <cdr:to>
      <cdr:x>0.84166</cdr:x>
      <cdr:y>0.29244</cdr:y>
    </cdr:to>
    <cdr:sp macro="" textlink="">
      <cdr:nvSpPr>
        <cdr:cNvPr id="3" name="TextBox 5">
          <a:extLst xmlns:a="http://schemas.openxmlformats.org/drawingml/2006/main">
            <a:ext uri="{FF2B5EF4-FFF2-40B4-BE49-F238E27FC236}">
              <a16:creationId xmlns:a16="http://schemas.microsoft.com/office/drawing/2014/main" id="{31290F1B-5F92-481C-836D-C62E178C3748}"/>
            </a:ext>
          </a:extLst>
        </cdr:cNvPr>
        <cdr:cNvSpPr txBox="1"/>
      </cdr:nvSpPr>
      <cdr:spPr>
        <a:xfrm xmlns:a="http://schemas.openxmlformats.org/drawingml/2006/main">
          <a:off x="2632075" y="688975"/>
          <a:ext cx="1937418" cy="633655"/>
        </a:xfrm>
        <a:prstGeom xmlns:a="http://schemas.openxmlformats.org/drawingml/2006/main" prst="rect">
          <a:avLst/>
        </a:prstGeom>
        <a:solidFill xmlns:a="http://schemas.openxmlformats.org/drawingml/2006/main">
          <a:schemeClr val="lt1"/>
        </a:solidFill>
        <a:ln xmlns:a="http://schemas.openxmlformats.org/drawingml/2006/main" w="9525" cmpd="sng">
          <a:solidFill>
            <a:schemeClr val="lt1">
              <a:shade val="50000"/>
            </a:schemeClr>
          </a:solid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en-US" sz="1100"/>
            <a:t>Armoring of greater than 50% will result in lateral migration</a:t>
          </a:r>
          <a:r>
            <a:rPr lang="en-US" sz="1100" baseline="0"/>
            <a:t> parameter score of 0.00.</a:t>
          </a:r>
          <a:endParaRPr lang="en-US" sz="1100"/>
        </a:p>
      </cdr:txBody>
    </cdr:sp>
  </cdr:relSizeAnchor>
</c:userShapes>
</file>

<file path=xl/drawings/drawing4.xml><?xml version="1.0" encoding="utf-8"?>
<c:userShapes xmlns:c="http://schemas.openxmlformats.org/drawingml/2006/chart">
  <cdr:relSizeAnchor xmlns:cdr="http://schemas.openxmlformats.org/drawingml/2006/chartDrawing">
    <cdr:from>
      <cdr:x>0.1564</cdr:x>
      <cdr:y>0.29135</cdr:y>
    </cdr:from>
    <cdr:to>
      <cdr:x>0.37199</cdr:x>
      <cdr:y>0.4433</cdr:y>
    </cdr:to>
    <cdr:sp macro="" textlink="">
      <cdr:nvSpPr>
        <cdr:cNvPr id="2" name="TextBox 5">
          <a:extLst xmlns:a="http://schemas.openxmlformats.org/drawingml/2006/main">
            <a:ext uri="{FF2B5EF4-FFF2-40B4-BE49-F238E27FC236}">
              <a16:creationId xmlns:a16="http://schemas.microsoft.com/office/drawing/2014/main" id="{1294D2CF-F097-4E00-B02F-623E3127C1FB}"/>
            </a:ext>
          </a:extLst>
        </cdr:cNvPr>
        <cdr:cNvSpPr txBox="1"/>
      </cdr:nvSpPr>
      <cdr:spPr>
        <a:xfrm xmlns:a="http://schemas.openxmlformats.org/drawingml/2006/main">
          <a:off x="841375" y="1279525"/>
          <a:ext cx="1159779" cy="667322"/>
        </a:xfrm>
        <a:prstGeom xmlns:a="http://schemas.openxmlformats.org/drawingml/2006/main" prst="rect">
          <a:avLst/>
        </a:prstGeom>
        <a:solidFill xmlns:a="http://schemas.openxmlformats.org/drawingml/2006/main">
          <a:schemeClr val="lt1"/>
        </a:solidFill>
        <a:ln xmlns:a="http://schemas.openxmlformats.org/drawingml/2006/main" w="9525" cmpd="sng">
          <a:solidFill>
            <a:schemeClr val="lt1">
              <a:shade val="50000"/>
            </a:schemeClr>
          </a:solid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en-US" sz="1100"/>
            <a:t>Blue</a:t>
          </a:r>
          <a:r>
            <a:rPr lang="en-US" sz="1100" baseline="0"/>
            <a:t> portion of curve only used when BHR &gt;1.2</a:t>
          </a:r>
          <a:endParaRPr lang="en-US" sz="1100"/>
        </a:p>
      </cdr:txBody>
    </cdr:sp>
  </cdr:relSizeAnchor>
</c:userShape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W49"/>
  <sheetViews>
    <sheetView tabSelected="1" zoomScale="85" zoomScaleNormal="85" zoomScaleSheetLayoutView="100" workbookViewId="0">
      <selection activeCell="M11" sqref="M11"/>
    </sheetView>
  </sheetViews>
  <sheetFormatPr defaultRowHeight="14.25" x14ac:dyDescent="0.45"/>
  <cols>
    <col min="1" max="1" width="21.86328125" customWidth="1"/>
    <col min="2" max="2" width="16.265625" style="10" customWidth="1"/>
    <col min="3" max="3" width="6.86328125" style="10" customWidth="1"/>
    <col min="4" max="4" width="24.1328125" customWidth="1"/>
    <col min="5" max="5" width="27.86328125" customWidth="1"/>
    <col min="6" max="7" width="7.86328125" style="10" customWidth="1"/>
    <col min="8" max="8" width="7.86328125" customWidth="1"/>
    <col min="9" max="9" width="1.1328125" style="9" customWidth="1"/>
    <col min="10" max="10" width="9" customWidth="1"/>
  </cols>
  <sheetData>
    <row r="1" spans="1:23" x14ac:dyDescent="0.45">
      <c r="A1" s="251" t="s">
        <v>413</v>
      </c>
      <c r="B1" s="252"/>
      <c r="C1" s="172"/>
      <c r="D1" s="379" t="s">
        <v>59</v>
      </c>
      <c r="E1" s="380"/>
      <c r="F1" s="380"/>
      <c r="G1" s="380"/>
      <c r="H1" s="381"/>
      <c r="I1" s="185"/>
      <c r="J1" s="11" t="s">
        <v>192</v>
      </c>
      <c r="K1" s="10"/>
      <c r="L1" s="10"/>
      <c r="M1" s="10"/>
      <c r="N1" s="10"/>
      <c r="O1" s="10"/>
      <c r="P1" s="10"/>
      <c r="Q1" s="10"/>
      <c r="R1" s="10"/>
      <c r="S1" s="10"/>
      <c r="T1" s="10"/>
      <c r="U1" s="10"/>
      <c r="V1" s="10"/>
      <c r="W1" s="10"/>
    </row>
    <row r="2" spans="1:23" x14ac:dyDescent="0.45">
      <c r="A2" s="253" t="s">
        <v>232</v>
      </c>
      <c r="B2" s="302">
        <v>44902</v>
      </c>
      <c r="C2" s="170"/>
      <c r="D2" s="392" t="s">
        <v>60</v>
      </c>
      <c r="E2" s="393"/>
      <c r="F2" s="393"/>
      <c r="G2" s="393"/>
      <c r="H2" s="394"/>
      <c r="I2" s="186"/>
      <c r="J2" s="219"/>
      <c r="K2" s="219"/>
      <c r="L2" s="219"/>
      <c r="M2" s="219"/>
      <c r="N2" s="219"/>
      <c r="O2" s="219"/>
      <c r="P2" s="219"/>
      <c r="Q2" s="219"/>
      <c r="R2" s="219"/>
      <c r="S2" s="219"/>
      <c r="T2" s="219"/>
      <c r="U2" s="10"/>
      <c r="V2" s="10"/>
      <c r="W2" s="10"/>
    </row>
    <row r="3" spans="1:23" s="10" customFormat="1" ht="15.75" customHeight="1" x14ac:dyDescent="0.45">
      <c r="A3" s="173"/>
      <c r="B3" s="1"/>
      <c r="C3" s="1"/>
      <c r="D3" s="389" t="s">
        <v>125</v>
      </c>
      <c r="E3" s="390"/>
      <c r="F3" s="390"/>
      <c r="G3" s="390"/>
      <c r="H3" s="391"/>
      <c r="I3" s="186"/>
      <c r="J3" s="219"/>
      <c r="K3" s="219"/>
      <c r="L3" s="219"/>
      <c r="M3" s="219"/>
      <c r="N3" s="219"/>
      <c r="O3" s="219"/>
      <c r="P3" s="219"/>
      <c r="Q3" s="219"/>
      <c r="R3" s="219"/>
      <c r="S3" s="219"/>
      <c r="T3" s="219"/>
    </row>
    <row r="4" spans="1:23" x14ac:dyDescent="0.45">
      <c r="A4" s="174"/>
      <c r="B4" s="18"/>
      <c r="C4" s="18"/>
      <c r="D4" s="388" t="s">
        <v>124</v>
      </c>
      <c r="E4" s="388"/>
      <c r="F4" s="388"/>
      <c r="G4" s="388"/>
      <c r="H4" s="388"/>
      <c r="I4" s="186"/>
      <c r="J4" s="219"/>
      <c r="K4" s="219"/>
      <c r="L4" s="219"/>
      <c r="M4" s="219"/>
      <c r="N4" s="219"/>
      <c r="O4" s="219"/>
      <c r="P4" s="219"/>
      <c r="Q4" s="219"/>
      <c r="R4" s="219"/>
      <c r="S4" s="219"/>
      <c r="T4" s="219"/>
    </row>
    <row r="5" spans="1:23" s="10" customFormat="1" ht="7.5" customHeight="1" x14ac:dyDescent="0.5">
      <c r="A5" s="175"/>
      <c r="B5" s="139"/>
      <c r="C5" s="139"/>
      <c r="D5" s="139"/>
      <c r="E5" s="139"/>
      <c r="F5" s="139"/>
      <c r="G5" s="139"/>
      <c r="H5" s="171"/>
      <c r="I5" s="139"/>
      <c r="J5" s="219"/>
      <c r="K5" s="160"/>
      <c r="L5" s="160"/>
      <c r="M5" s="160"/>
      <c r="N5" s="160"/>
      <c r="O5" s="160"/>
      <c r="P5" s="160"/>
      <c r="Q5" s="160"/>
      <c r="R5" s="160"/>
      <c r="S5" s="160"/>
      <c r="T5" s="160"/>
    </row>
    <row r="6" spans="1:23" ht="16.899999999999999" x14ac:dyDescent="0.45">
      <c r="A6" s="404" t="s">
        <v>69</v>
      </c>
      <c r="B6" s="405"/>
      <c r="C6" s="405"/>
      <c r="D6" s="405"/>
      <c r="E6" s="405"/>
      <c r="F6" s="405"/>
      <c r="G6" s="405"/>
      <c r="H6" s="406"/>
      <c r="I6" s="187"/>
      <c r="J6" s="219"/>
      <c r="K6" s="160"/>
      <c r="L6" s="160"/>
      <c r="M6" s="160"/>
      <c r="N6" s="160"/>
      <c r="O6" s="160"/>
      <c r="P6" s="160"/>
      <c r="Q6" s="160"/>
      <c r="R6" s="160"/>
      <c r="S6" s="160"/>
      <c r="T6" s="160"/>
      <c r="U6" s="10"/>
      <c r="V6" s="10"/>
      <c r="W6" s="10"/>
    </row>
    <row r="7" spans="1:23" x14ac:dyDescent="0.45">
      <c r="A7" s="385" t="s">
        <v>70</v>
      </c>
      <c r="B7" s="386"/>
      <c r="C7" s="387"/>
      <c r="D7" s="205"/>
      <c r="E7" s="17"/>
      <c r="F7" s="17"/>
      <c r="G7" s="17"/>
      <c r="H7" s="130"/>
      <c r="I7" s="1"/>
      <c r="J7" s="160"/>
      <c r="K7" s="160"/>
      <c r="L7" s="160"/>
      <c r="M7" s="160"/>
      <c r="N7" s="160"/>
      <c r="O7" s="160"/>
      <c r="P7" s="160"/>
      <c r="Q7" s="160"/>
      <c r="R7" s="160"/>
      <c r="S7" s="160"/>
      <c r="T7" s="160"/>
      <c r="U7" s="10"/>
      <c r="V7" s="10"/>
      <c r="W7" s="10"/>
    </row>
    <row r="8" spans="1:23" s="10" customFormat="1" ht="14.25" customHeight="1" x14ac:dyDescent="0.45">
      <c r="A8" s="413" t="s">
        <v>195</v>
      </c>
      <c r="B8" s="414"/>
      <c r="C8" s="414"/>
      <c r="D8" s="414"/>
      <c r="E8" s="414"/>
      <c r="F8" s="414"/>
      <c r="G8" s="414"/>
      <c r="H8" s="415"/>
      <c r="I8" s="73"/>
      <c r="J8" s="160"/>
      <c r="K8" s="160"/>
      <c r="L8" s="160"/>
      <c r="M8" s="160"/>
      <c r="N8" s="160"/>
      <c r="O8" s="160"/>
      <c r="P8" s="160"/>
      <c r="Q8" s="160"/>
      <c r="R8" s="160"/>
      <c r="S8" s="160"/>
      <c r="T8" s="160"/>
    </row>
    <row r="9" spans="1:23" s="10" customFormat="1" ht="24" customHeight="1" x14ac:dyDescent="0.45">
      <c r="A9" s="407"/>
      <c r="B9" s="408"/>
      <c r="C9" s="408"/>
      <c r="D9" s="408"/>
      <c r="E9" s="408"/>
      <c r="F9" s="408"/>
      <c r="G9" s="408"/>
      <c r="H9" s="409"/>
      <c r="I9" s="73"/>
      <c r="J9" s="160"/>
      <c r="K9" s="160"/>
      <c r="L9" s="160"/>
      <c r="M9" s="160"/>
      <c r="N9" s="160"/>
      <c r="O9" s="160"/>
      <c r="P9" s="160"/>
      <c r="Q9" s="160"/>
      <c r="R9" s="160"/>
      <c r="S9" s="160"/>
      <c r="T9" s="160"/>
    </row>
    <row r="10" spans="1:23" s="10" customFormat="1" ht="14.25" customHeight="1" x14ac:dyDescent="0.45">
      <c r="A10" s="410"/>
      <c r="B10" s="411"/>
      <c r="C10" s="411"/>
      <c r="D10" s="411"/>
      <c r="E10" s="411"/>
      <c r="F10" s="411"/>
      <c r="G10" s="411"/>
      <c r="H10" s="412"/>
      <c r="I10" s="73"/>
      <c r="J10" s="160"/>
      <c r="K10" s="160"/>
      <c r="L10" s="160"/>
      <c r="M10" s="160"/>
      <c r="N10" s="160"/>
      <c r="O10" s="160"/>
      <c r="P10" s="160"/>
      <c r="Q10" s="160"/>
      <c r="R10" s="160"/>
      <c r="S10" s="160"/>
      <c r="T10" s="160"/>
    </row>
    <row r="11" spans="1:23" ht="19.149999999999999" customHeight="1" x14ac:dyDescent="0.45">
      <c r="A11" s="395" t="s">
        <v>254</v>
      </c>
      <c r="B11" s="396"/>
      <c r="C11" s="396"/>
      <c r="D11" s="396"/>
      <c r="E11" s="396"/>
      <c r="F11" s="396"/>
      <c r="G11" s="396"/>
      <c r="H11" s="397"/>
      <c r="I11" s="187"/>
      <c r="J11" s="160"/>
      <c r="K11" s="160"/>
      <c r="L11" s="160"/>
      <c r="M11" s="160"/>
      <c r="N11" s="160"/>
      <c r="O11" s="160"/>
      <c r="P11" s="160"/>
      <c r="Q11" s="160"/>
      <c r="R11" s="160"/>
      <c r="S11" s="160"/>
      <c r="T11" s="160"/>
      <c r="U11" s="10"/>
      <c r="V11" s="10"/>
      <c r="W11" s="10"/>
    </row>
    <row r="12" spans="1:23" s="10" customFormat="1" x14ac:dyDescent="0.45">
      <c r="A12" s="126" t="s">
        <v>111</v>
      </c>
      <c r="B12" s="398"/>
      <c r="C12" s="399"/>
      <c r="D12" s="399"/>
      <c r="E12" s="399"/>
      <c r="F12" s="399"/>
      <c r="G12" s="399"/>
      <c r="H12" s="400"/>
      <c r="I12" s="73"/>
      <c r="J12" s="160"/>
      <c r="K12" s="160"/>
      <c r="L12" s="160"/>
      <c r="M12" s="160"/>
      <c r="N12" s="160"/>
      <c r="O12" s="160"/>
      <c r="P12" s="160"/>
      <c r="Q12" s="160"/>
      <c r="R12" s="160"/>
      <c r="S12" s="160"/>
      <c r="T12" s="160"/>
    </row>
    <row r="13" spans="1:23" x14ac:dyDescent="0.45">
      <c r="A13" s="126" t="s">
        <v>231</v>
      </c>
      <c r="B13" s="398"/>
      <c r="C13" s="399"/>
      <c r="D13" s="399"/>
      <c r="E13" s="399"/>
      <c r="F13" s="399"/>
      <c r="G13" s="399"/>
      <c r="H13" s="400"/>
      <c r="I13" s="73"/>
      <c r="J13" s="160"/>
      <c r="K13" s="160"/>
      <c r="L13" s="160"/>
      <c r="M13" s="160"/>
      <c r="N13" s="160"/>
      <c r="O13" s="160"/>
      <c r="P13" s="160"/>
      <c r="Q13" s="160"/>
      <c r="R13" s="160"/>
      <c r="S13" s="160"/>
      <c r="T13" s="160"/>
      <c r="U13" s="10"/>
      <c r="V13" s="10"/>
      <c r="W13" s="10"/>
    </row>
    <row r="14" spans="1:23" x14ac:dyDescent="0.45">
      <c r="A14" s="227" t="s">
        <v>332</v>
      </c>
      <c r="B14" s="401"/>
      <c r="C14" s="402"/>
      <c r="D14" s="402"/>
      <c r="E14" s="402"/>
      <c r="F14" s="402"/>
      <c r="G14" s="402"/>
      <c r="H14" s="403"/>
      <c r="I14" s="73"/>
      <c r="J14" s="160"/>
      <c r="K14" s="160"/>
      <c r="L14" s="160"/>
      <c r="M14" s="160"/>
      <c r="N14" s="160"/>
      <c r="O14" s="160"/>
      <c r="P14" s="160"/>
      <c r="Q14" s="160"/>
      <c r="R14" s="160"/>
      <c r="S14" s="160"/>
      <c r="T14" s="160"/>
      <c r="U14" s="10"/>
      <c r="V14" s="10"/>
      <c r="W14" s="10"/>
    </row>
    <row r="15" spans="1:23" x14ac:dyDescent="0.45">
      <c r="A15" s="227" t="s">
        <v>71</v>
      </c>
      <c r="B15" s="401"/>
      <c r="C15" s="402"/>
      <c r="D15" s="402"/>
      <c r="E15" s="402"/>
      <c r="F15" s="402"/>
      <c r="G15" s="402"/>
      <c r="H15" s="403"/>
      <c r="I15" s="73"/>
      <c r="J15" s="160"/>
      <c r="K15" s="160"/>
      <c r="L15" s="160"/>
      <c r="M15" s="160"/>
      <c r="N15" s="160"/>
      <c r="O15" s="160"/>
      <c r="P15" s="160"/>
      <c r="Q15" s="160"/>
      <c r="R15" s="160"/>
      <c r="S15" s="160"/>
      <c r="T15" s="160"/>
      <c r="U15" s="10"/>
      <c r="V15" s="10"/>
      <c r="W15" s="10"/>
    </row>
    <row r="16" spans="1:23" x14ac:dyDescent="0.45">
      <c r="A16" s="176" t="s">
        <v>245</v>
      </c>
      <c r="B16" s="382"/>
      <c r="C16" s="383"/>
      <c r="D16" s="383"/>
      <c r="E16" s="383"/>
      <c r="F16" s="383"/>
      <c r="G16" s="383"/>
      <c r="H16" s="384"/>
      <c r="I16" s="73"/>
      <c r="J16" s="160"/>
      <c r="K16" s="160"/>
      <c r="L16" s="160"/>
      <c r="M16" s="160"/>
      <c r="N16" s="160"/>
      <c r="O16" s="160"/>
      <c r="P16" s="160"/>
      <c r="Q16" s="160"/>
      <c r="R16" s="160"/>
      <c r="S16" s="160"/>
      <c r="T16" s="160"/>
      <c r="U16" s="10"/>
      <c r="V16" s="10"/>
      <c r="W16" s="10"/>
    </row>
    <row r="17" spans="1:23" ht="17.25" customHeight="1" x14ac:dyDescent="0.45">
      <c r="A17" s="372" t="s">
        <v>196</v>
      </c>
      <c r="B17" s="373"/>
      <c r="C17" s="373"/>
      <c r="D17" s="373"/>
      <c r="E17" s="373"/>
      <c r="F17" s="373"/>
      <c r="G17" s="373"/>
      <c r="H17" s="374"/>
      <c r="I17" s="187"/>
      <c r="J17" s="160"/>
      <c r="K17" s="160"/>
      <c r="L17" s="160"/>
      <c r="M17" s="160"/>
      <c r="N17" s="160"/>
      <c r="O17" s="160"/>
      <c r="P17" s="160"/>
      <c r="Q17" s="160"/>
      <c r="R17" s="160"/>
      <c r="S17" s="160"/>
      <c r="T17" s="160"/>
      <c r="U17" s="10"/>
      <c r="V17" s="10"/>
      <c r="W17" s="10"/>
    </row>
    <row r="18" spans="1:23" s="10" customFormat="1" x14ac:dyDescent="0.45">
      <c r="A18" s="167" t="s">
        <v>203</v>
      </c>
      <c r="B18" s="168" t="s">
        <v>193</v>
      </c>
      <c r="C18" s="375" t="s">
        <v>137</v>
      </c>
      <c r="D18" s="376"/>
      <c r="E18" s="194" t="s">
        <v>194</v>
      </c>
      <c r="F18" s="196" t="s">
        <v>109</v>
      </c>
      <c r="G18" s="196" t="s">
        <v>110</v>
      </c>
      <c r="H18" s="169" t="s">
        <v>202</v>
      </c>
      <c r="I18" s="188"/>
      <c r="J18" s="160"/>
      <c r="K18" s="160"/>
      <c r="L18" s="160"/>
      <c r="M18" s="160"/>
      <c r="N18" s="160"/>
      <c r="O18" s="160"/>
      <c r="P18" s="160"/>
      <c r="Q18" s="160"/>
      <c r="R18" s="160"/>
      <c r="S18" s="160"/>
      <c r="T18" s="160"/>
    </row>
    <row r="19" spans="1:23" ht="12" hidden="1" customHeight="1" x14ac:dyDescent="0.45">
      <c r="A19" s="197" t="s">
        <v>255</v>
      </c>
      <c r="B19" s="198" t="s">
        <v>264</v>
      </c>
      <c r="C19" s="377"/>
      <c r="D19" s="378"/>
      <c r="E19" s="199"/>
      <c r="F19" s="200" t="s">
        <v>263</v>
      </c>
      <c r="G19" s="200" t="s">
        <v>411</v>
      </c>
      <c r="H19" s="198" t="s">
        <v>412</v>
      </c>
      <c r="I19" s="73"/>
      <c r="J19" s="160"/>
      <c r="K19" s="160"/>
      <c r="L19" s="160"/>
      <c r="M19" s="160"/>
      <c r="N19" s="160"/>
      <c r="O19" s="160"/>
      <c r="P19" s="160"/>
      <c r="Q19" s="160"/>
      <c r="R19" s="160"/>
      <c r="S19" s="160"/>
      <c r="T19" s="160"/>
      <c r="U19" s="10"/>
      <c r="V19" s="10"/>
      <c r="W19" s="10"/>
    </row>
    <row r="20" spans="1:23" ht="14.65" customHeight="1" x14ac:dyDescent="0.45">
      <c r="A20" s="327" t="s">
        <v>429</v>
      </c>
      <c r="B20" s="152" cm="1">
        <f t="array" aca="1" ref="B20" ca="1">IFERROR(INDIRECT($A20&amp;"!"&amp;B$19),"")</f>
        <v>0</v>
      </c>
      <c r="C20" s="370"/>
      <c r="D20" s="371"/>
      <c r="E20" s="326"/>
      <c r="F20" s="152" cm="1">
        <f t="array" aca="1" ref="F20" ca="1">IFERROR(INDIRECT($A20&amp;"!"&amp;F$19),"")</f>
        <v>0</v>
      </c>
      <c r="G20" s="152" cm="1">
        <f t="array" aca="1" ref="G20" ca="1">IFERROR(INDIRECT($A20&amp;"!"&amp;G$19),"")</f>
        <v>0</v>
      </c>
      <c r="H20" s="152" t="str" cm="1">
        <f t="array" aca="1" ref="H20" ca="1">IFERROR(INDIRECT($A20&amp;"!"&amp;H$19),"")</f>
        <v/>
      </c>
      <c r="I20" s="184"/>
      <c r="J20" s="160"/>
      <c r="K20" s="160"/>
      <c r="L20" s="160"/>
      <c r="M20" s="160"/>
      <c r="N20" s="160"/>
      <c r="O20" s="160"/>
      <c r="P20" s="160"/>
      <c r="Q20" s="160"/>
      <c r="R20" s="160"/>
      <c r="S20" s="160"/>
      <c r="T20" s="160"/>
      <c r="U20" s="10"/>
      <c r="V20" s="10"/>
      <c r="W20" s="10"/>
    </row>
    <row r="21" spans="1:23" x14ac:dyDescent="0.45">
      <c r="A21" s="327"/>
      <c r="B21" s="152" t="str" cm="1">
        <f t="array" aca="1" ref="B21" ca="1">IFERROR(INDIRECT($A21&amp;"!"&amp;B$19),"")</f>
        <v/>
      </c>
      <c r="C21" s="370"/>
      <c r="D21" s="371"/>
      <c r="E21" s="326"/>
      <c r="F21" s="152" t="str" cm="1">
        <f t="array" aca="1" ref="F21" ca="1">IFERROR(INDIRECT($A21&amp;"!"&amp;F$19),"")</f>
        <v/>
      </c>
      <c r="G21" s="152" t="str" cm="1">
        <f t="array" aca="1" ref="G21" ca="1">IFERROR(INDIRECT($A21&amp;"!"&amp;G$19),"")</f>
        <v/>
      </c>
      <c r="H21" s="152" t="str" cm="1">
        <f t="array" aca="1" ref="H21" ca="1">IFERROR(INDIRECT($A21&amp;"!"&amp;H$19),"")</f>
        <v/>
      </c>
      <c r="I21" s="184"/>
      <c r="J21" s="160"/>
      <c r="K21" s="160"/>
      <c r="L21" s="160"/>
      <c r="M21" s="160"/>
      <c r="N21" s="160"/>
      <c r="O21" s="160"/>
      <c r="P21" s="160"/>
      <c r="Q21" s="160"/>
      <c r="R21" s="160"/>
      <c r="S21" s="160"/>
      <c r="T21" s="160"/>
      <c r="U21" s="10"/>
      <c r="V21" s="10"/>
      <c r="W21" s="10"/>
    </row>
    <row r="22" spans="1:23" x14ac:dyDescent="0.45">
      <c r="A22" s="327"/>
      <c r="B22" s="152" t="str" cm="1">
        <f t="array" aca="1" ref="B22" ca="1">IFERROR(INDIRECT($A22&amp;"!"&amp;B$19),"")</f>
        <v/>
      </c>
      <c r="C22" s="370"/>
      <c r="D22" s="371"/>
      <c r="E22" s="326"/>
      <c r="F22" s="152" t="str" cm="1">
        <f t="array" aca="1" ref="F22" ca="1">IFERROR(INDIRECT($A22&amp;"!"&amp;F$19),"")</f>
        <v/>
      </c>
      <c r="G22" s="152" t="str" cm="1">
        <f t="array" aca="1" ref="G22" ca="1">IFERROR(INDIRECT($A22&amp;"!"&amp;G$19),"")</f>
        <v/>
      </c>
      <c r="H22" s="152" t="str" cm="1">
        <f t="array" aca="1" ref="H22" ca="1">IFERROR(INDIRECT($A22&amp;"!"&amp;H$19),"")</f>
        <v/>
      </c>
      <c r="I22" s="184"/>
      <c r="J22" s="160"/>
      <c r="K22" s="160"/>
      <c r="L22" s="160"/>
      <c r="M22" s="160"/>
      <c r="N22" s="160"/>
      <c r="O22" s="160"/>
      <c r="P22" s="160"/>
      <c r="Q22" s="160"/>
      <c r="R22" s="160"/>
      <c r="S22" s="160"/>
      <c r="T22" s="160"/>
      <c r="U22" s="10"/>
      <c r="V22" s="10"/>
      <c r="W22" s="10"/>
    </row>
    <row r="23" spans="1:23" x14ac:dyDescent="0.45">
      <c r="A23" s="327"/>
      <c r="B23" s="152" t="str" cm="1">
        <f t="array" aca="1" ref="B23" ca="1">IFERROR(INDIRECT($A23&amp;"!"&amp;B$19),"")</f>
        <v/>
      </c>
      <c r="C23" s="370"/>
      <c r="D23" s="371"/>
      <c r="E23" s="326"/>
      <c r="F23" s="152" t="str" cm="1">
        <f t="array" aca="1" ref="F23" ca="1">IFERROR(INDIRECT($A23&amp;"!"&amp;F$19),"")</f>
        <v/>
      </c>
      <c r="G23" s="152" t="str" cm="1">
        <f t="array" aca="1" ref="G23" ca="1">IFERROR(INDIRECT($A23&amp;"!"&amp;G$19),"")</f>
        <v/>
      </c>
      <c r="H23" s="152" t="str" cm="1">
        <f t="array" aca="1" ref="H23" ca="1">IFERROR(INDIRECT($A23&amp;"!"&amp;H$19),"")</f>
        <v/>
      </c>
      <c r="I23" s="184"/>
      <c r="J23" s="160"/>
      <c r="K23" s="160"/>
      <c r="L23" s="160"/>
      <c r="M23" s="160"/>
      <c r="N23" s="160"/>
      <c r="O23" s="160"/>
      <c r="P23" s="160"/>
      <c r="Q23" s="160"/>
      <c r="R23" s="160"/>
      <c r="S23" s="160"/>
      <c r="T23" s="160"/>
      <c r="U23" s="10"/>
      <c r="V23" s="10"/>
      <c r="W23" s="10"/>
    </row>
    <row r="24" spans="1:23" x14ac:dyDescent="0.45">
      <c r="A24" s="327"/>
      <c r="B24" s="152" t="str" cm="1">
        <f t="array" aca="1" ref="B24" ca="1">IFERROR(INDIRECT($A24&amp;"!"&amp;B$19),"")</f>
        <v/>
      </c>
      <c r="C24" s="370"/>
      <c r="D24" s="371"/>
      <c r="E24" s="326"/>
      <c r="F24" s="152" t="str" cm="1">
        <f t="array" aca="1" ref="F24" ca="1">IFERROR(INDIRECT($A24&amp;"!"&amp;F$19),"")</f>
        <v/>
      </c>
      <c r="G24" s="152" t="str" cm="1">
        <f t="array" aca="1" ref="G24" ca="1">IFERROR(INDIRECT($A24&amp;"!"&amp;G$19),"")</f>
        <v/>
      </c>
      <c r="H24" s="152" t="str" cm="1">
        <f t="array" aca="1" ref="H24" ca="1">IFERROR(INDIRECT($A24&amp;"!"&amp;H$19),"")</f>
        <v/>
      </c>
      <c r="I24" s="184"/>
      <c r="J24" s="160"/>
      <c r="K24" s="160"/>
      <c r="L24" s="160"/>
      <c r="M24" s="160"/>
      <c r="N24" s="160"/>
      <c r="O24" s="160"/>
      <c r="P24" s="160"/>
      <c r="Q24" s="160"/>
      <c r="R24" s="160"/>
      <c r="S24" s="160"/>
      <c r="T24" s="160"/>
      <c r="U24" s="10"/>
      <c r="V24" s="10"/>
      <c r="W24" s="10"/>
    </row>
    <row r="25" spans="1:23" x14ac:dyDescent="0.45">
      <c r="A25" s="327"/>
      <c r="B25" s="152" t="str" cm="1">
        <f t="array" aca="1" ref="B25" ca="1">IFERROR(INDIRECT($A25&amp;"!"&amp;B$19),"")</f>
        <v/>
      </c>
      <c r="C25" s="370"/>
      <c r="D25" s="371"/>
      <c r="E25" s="326"/>
      <c r="F25" s="152" t="str" cm="1">
        <f t="array" aca="1" ref="F25" ca="1">IFERROR(INDIRECT($A25&amp;"!"&amp;F$19),"")</f>
        <v/>
      </c>
      <c r="G25" s="152" t="str" cm="1">
        <f t="array" aca="1" ref="G25" ca="1">IFERROR(INDIRECT($A25&amp;"!"&amp;G$19),"")</f>
        <v/>
      </c>
      <c r="H25" s="152" t="str" cm="1">
        <f t="array" aca="1" ref="H25" ca="1">IFERROR(INDIRECT($A25&amp;"!"&amp;H$19),"")</f>
        <v/>
      </c>
      <c r="I25" s="184"/>
      <c r="J25" s="160"/>
      <c r="K25" s="160"/>
      <c r="L25" s="160"/>
      <c r="M25" s="160"/>
      <c r="N25" s="160"/>
      <c r="O25" s="160"/>
      <c r="P25" s="160"/>
      <c r="Q25" s="160"/>
      <c r="R25" s="160"/>
      <c r="S25" s="160"/>
      <c r="T25" s="160"/>
      <c r="U25" s="10"/>
      <c r="V25" s="10"/>
      <c r="W25" s="10"/>
    </row>
    <row r="26" spans="1:23" x14ac:dyDescent="0.45">
      <c r="A26" s="327"/>
      <c r="B26" s="152" t="str" cm="1">
        <f t="array" aca="1" ref="B26" ca="1">IFERROR(INDIRECT($A26&amp;"!"&amp;B$19),"")</f>
        <v/>
      </c>
      <c r="C26" s="370"/>
      <c r="D26" s="371"/>
      <c r="E26" s="326"/>
      <c r="F26" s="152" t="str" cm="1">
        <f t="array" aca="1" ref="F26" ca="1">IFERROR(INDIRECT($A26&amp;"!"&amp;F$19),"")</f>
        <v/>
      </c>
      <c r="G26" s="152" t="str" cm="1">
        <f t="array" aca="1" ref="G26" ca="1">IFERROR(INDIRECT($A26&amp;"!"&amp;G$19),"")</f>
        <v/>
      </c>
      <c r="H26" s="152" t="str" cm="1">
        <f t="array" aca="1" ref="H26" ca="1">IFERROR(INDIRECT($A26&amp;"!"&amp;H$19),"")</f>
        <v/>
      </c>
      <c r="I26" s="184"/>
      <c r="J26" s="160"/>
      <c r="K26" s="160"/>
      <c r="L26" s="160"/>
      <c r="M26" s="160"/>
      <c r="N26" s="160"/>
      <c r="O26" s="160"/>
      <c r="P26" s="160"/>
      <c r="Q26" s="160"/>
      <c r="R26" s="160"/>
      <c r="S26" s="160"/>
      <c r="T26" s="160"/>
      <c r="U26" s="10"/>
      <c r="V26" s="10"/>
      <c r="W26" s="10"/>
    </row>
    <row r="27" spans="1:23" x14ac:dyDescent="0.45">
      <c r="A27" s="327"/>
      <c r="B27" s="152" t="str" cm="1">
        <f t="array" aca="1" ref="B27" ca="1">IFERROR(INDIRECT($A27&amp;"!"&amp;B$19),"")</f>
        <v/>
      </c>
      <c r="C27" s="370"/>
      <c r="D27" s="371"/>
      <c r="E27" s="326"/>
      <c r="F27" s="152" t="str" cm="1">
        <f t="array" aca="1" ref="F27" ca="1">IFERROR(INDIRECT($A27&amp;"!"&amp;F$19),"")</f>
        <v/>
      </c>
      <c r="G27" s="152" t="str" cm="1">
        <f t="array" aca="1" ref="G27" ca="1">IFERROR(INDIRECT($A27&amp;"!"&amp;G$19),"")</f>
        <v/>
      </c>
      <c r="H27" s="152" t="str" cm="1">
        <f t="array" aca="1" ref="H27" ca="1">IFERROR(INDIRECT($A27&amp;"!"&amp;H$19),"")</f>
        <v/>
      </c>
      <c r="I27" s="184"/>
      <c r="J27" s="160"/>
      <c r="K27" s="160"/>
      <c r="L27" s="160"/>
      <c r="M27" s="160"/>
      <c r="N27" s="160"/>
      <c r="O27" s="160"/>
      <c r="P27" s="160"/>
      <c r="Q27" s="160"/>
      <c r="R27" s="160"/>
      <c r="S27" s="160"/>
      <c r="T27" s="160"/>
      <c r="U27" s="10"/>
      <c r="V27" s="10"/>
      <c r="W27" s="10"/>
    </row>
    <row r="28" spans="1:23" x14ac:dyDescent="0.45">
      <c r="A28" s="327"/>
      <c r="B28" s="152" t="str" cm="1">
        <f t="array" aca="1" ref="B28" ca="1">IFERROR(INDIRECT($A28&amp;"!"&amp;B$19),"")</f>
        <v/>
      </c>
      <c r="C28" s="370"/>
      <c r="D28" s="371"/>
      <c r="E28" s="326"/>
      <c r="F28" s="152" t="str" cm="1">
        <f t="array" aca="1" ref="F28" ca="1">IFERROR(INDIRECT($A28&amp;"!"&amp;F$19),"")</f>
        <v/>
      </c>
      <c r="G28" s="152" t="str" cm="1">
        <f t="array" aca="1" ref="G28" ca="1">IFERROR(INDIRECT($A28&amp;"!"&amp;G$19),"")</f>
        <v/>
      </c>
      <c r="H28" s="152" t="str" cm="1">
        <f t="array" aca="1" ref="H28" ca="1">IFERROR(INDIRECT($A28&amp;"!"&amp;H$19),"")</f>
        <v/>
      </c>
      <c r="I28" s="184"/>
      <c r="J28" s="160"/>
      <c r="K28" s="160"/>
      <c r="L28" s="160"/>
      <c r="M28" s="160"/>
      <c r="N28" s="160"/>
      <c r="O28" s="160"/>
      <c r="P28" s="160"/>
      <c r="Q28" s="160"/>
      <c r="R28" s="160"/>
      <c r="S28" s="160"/>
      <c r="T28" s="160"/>
      <c r="U28" s="10"/>
      <c r="V28" s="10"/>
      <c r="W28" s="10"/>
    </row>
    <row r="29" spans="1:23" x14ac:dyDescent="0.45">
      <c r="A29" s="327"/>
      <c r="B29" s="152" t="str" cm="1">
        <f t="array" aca="1" ref="B29" ca="1">IFERROR(INDIRECT($A29&amp;"!"&amp;B$19),"")</f>
        <v/>
      </c>
      <c r="C29" s="370"/>
      <c r="D29" s="371"/>
      <c r="E29" s="326"/>
      <c r="F29" s="152" t="str" cm="1">
        <f t="array" aca="1" ref="F29" ca="1">IFERROR(INDIRECT($A29&amp;"!"&amp;F$19),"")</f>
        <v/>
      </c>
      <c r="G29" s="152" t="str" cm="1">
        <f t="array" aca="1" ref="G29" ca="1">IFERROR(INDIRECT($A29&amp;"!"&amp;G$19),"")</f>
        <v/>
      </c>
      <c r="H29" s="152" t="str" cm="1">
        <f t="array" aca="1" ref="H29" ca="1">IFERROR(INDIRECT($A29&amp;"!"&amp;H$19),"")</f>
        <v/>
      </c>
      <c r="I29" s="184"/>
      <c r="J29" s="160"/>
      <c r="K29" s="160"/>
      <c r="L29" s="160"/>
      <c r="M29" s="160"/>
      <c r="N29" s="160"/>
      <c r="O29" s="160"/>
      <c r="P29" s="160"/>
      <c r="Q29" s="160"/>
      <c r="R29" s="160"/>
      <c r="S29" s="160"/>
      <c r="T29" s="160"/>
      <c r="U29" s="10"/>
      <c r="V29" s="10"/>
      <c r="W29" s="10"/>
    </row>
    <row r="30" spans="1:23" x14ac:dyDescent="0.45">
      <c r="J30" s="10"/>
      <c r="K30" s="10"/>
      <c r="L30" s="10"/>
      <c r="M30" s="10"/>
      <c r="N30" s="10"/>
      <c r="O30" s="10"/>
      <c r="P30" s="10"/>
      <c r="Q30" s="10"/>
      <c r="R30" s="10"/>
      <c r="S30" s="10"/>
      <c r="T30" s="10"/>
      <c r="U30" s="10"/>
      <c r="V30" s="10"/>
      <c r="W30" s="10"/>
    </row>
    <row r="31" spans="1:23" x14ac:dyDescent="0.45">
      <c r="A31" s="10"/>
      <c r="D31" s="10"/>
      <c r="E31" s="10"/>
      <c r="H31" s="10"/>
      <c r="J31" s="10"/>
      <c r="K31" s="10"/>
      <c r="L31" s="10"/>
      <c r="M31" s="10"/>
      <c r="N31" s="10"/>
      <c r="O31" s="10"/>
      <c r="P31" s="10"/>
      <c r="Q31" s="10"/>
      <c r="R31" s="10"/>
      <c r="S31" s="10"/>
      <c r="T31" s="10"/>
      <c r="U31" s="10"/>
      <c r="V31" s="10"/>
      <c r="W31" s="10"/>
    </row>
    <row r="32" spans="1:23" x14ac:dyDescent="0.45">
      <c r="J32" s="10"/>
      <c r="K32" s="10"/>
      <c r="L32" s="10"/>
      <c r="M32" s="10"/>
      <c r="N32" s="10"/>
      <c r="O32" s="10"/>
      <c r="P32" s="10"/>
      <c r="Q32" s="10"/>
      <c r="R32" s="10"/>
      <c r="S32" s="10"/>
      <c r="T32" s="10"/>
      <c r="U32" s="10"/>
      <c r="V32" s="10"/>
      <c r="W32" s="10"/>
    </row>
    <row r="33" spans="1:23" x14ac:dyDescent="0.45">
      <c r="A33" s="11" t="s">
        <v>294</v>
      </c>
      <c r="B33" s="11"/>
      <c r="C33" s="11"/>
      <c r="D33" s="10"/>
      <c r="E33" s="10"/>
      <c r="H33" s="10"/>
      <c r="J33" s="10"/>
      <c r="K33" s="10"/>
      <c r="L33" s="10"/>
      <c r="M33" s="10"/>
      <c r="N33" s="10"/>
      <c r="O33" s="10"/>
      <c r="P33" s="10"/>
      <c r="Q33" s="10"/>
      <c r="R33" s="10"/>
      <c r="S33" s="10"/>
      <c r="T33" s="10"/>
      <c r="U33" s="10"/>
      <c r="V33" s="10"/>
      <c r="W33" s="10"/>
    </row>
    <row r="34" spans="1:23" x14ac:dyDescent="0.45">
      <c r="A34" s="11" t="s">
        <v>295</v>
      </c>
      <c r="B34" s="10" t="s">
        <v>304</v>
      </c>
      <c r="D34" s="10"/>
      <c r="E34" s="10"/>
      <c r="H34" s="10"/>
      <c r="J34" s="10"/>
      <c r="K34" s="10"/>
      <c r="L34" s="10"/>
      <c r="M34" s="10"/>
      <c r="N34" s="10"/>
      <c r="O34" s="10"/>
      <c r="P34" s="10"/>
      <c r="Q34" s="10"/>
      <c r="R34" s="10"/>
      <c r="S34" s="10"/>
      <c r="T34" s="10"/>
      <c r="U34" s="10"/>
      <c r="V34" s="10"/>
      <c r="W34" s="10"/>
    </row>
    <row r="35" spans="1:23" x14ac:dyDescent="0.45">
      <c r="A35" s="11" t="s">
        <v>296</v>
      </c>
      <c r="B35" s="9" t="s">
        <v>307</v>
      </c>
      <c r="D35" s="10"/>
      <c r="E35" s="10"/>
      <c r="H35" s="10"/>
      <c r="J35" s="10"/>
      <c r="K35" s="10"/>
      <c r="L35" s="10"/>
      <c r="M35" s="10"/>
      <c r="N35" s="10"/>
      <c r="O35" s="10"/>
      <c r="P35" s="10"/>
      <c r="Q35" s="10"/>
      <c r="R35" s="10"/>
      <c r="S35" s="10"/>
      <c r="T35" s="10"/>
      <c r="U35" s="10"/>
      <c r="V35" s="10"/>
      <c r="W35" s="10"/>
    </row>
    <row r="36" spans="1:23" x14ac:dyDescent="0.45">
      <c r="A36" s="10"/>
      <c r="B36" s="9" t="s">
        <v>306</v>
      </c>
      <c r="D36" s="10"/>
      <c r="E36" s="10"/>
      <c r="H36" s="10"/>
      <c r="J36" s="10"/>
      <c r="U36" s="10"/>
      <c r="V36" s="10"/>
      <c r="W36" s="10"/>
    </row>
    <row r="37" spans="1:23" s="10" customFormat="1" x14ac:dyDescent="0.45">
      <c r="B37" s="9" t="s">
        <v>305</v>
      </c>
      <c r="I37" s="9"/>
    </row>
    <row r="38" spans="1:23" x14ac:dyDescent="0.45">
      <c r="A38" s="10"/>
      <c r="B38" s="10" t="s">
        <v>297</v>
      </c>
      <c r="D38" s="10"/>
      <c r="E38" s="10"/>
      <c r="H38" s="10"/>
      <c r="J38" s="10"/>
    </row>
    <row r="39" spans="1:23" x14ac:dyDescent="0.45">
      <c r="A39" s="10"/>
      <c r="B39" s="10" t="s">
        <v>298</v>
      </c>
      <c r="D39" s="10"/>
      <c r="E39" s="10"/>
      <c r="H39" s="10"/>
      <c r="J39" s="10"/>
    </row>
    <row r="40" spans="1:23" x14ac:dyDescent="0.45">
      <c r="A40" s="10"/>
      <c r="B40" s="10" t="s">
        <v>299</v>
      </c>
      <c r="D40" s="10"/>
      <c r="E40" s="10"/>
      <c r="H40" s="10"/>
      <c r="J40" s="10"/>
    </row>
    <row r="41" spans="1:23" x14ac:dyDescent="0.45">
      <c r="A41" s="10"/>
      <c r="B41" s="10" t="s">
        <v>300</v>
      </c>
      <c r="E41" s="10"/>
      <c r="H41" s="10"/>
    </row>
    <row r="42" spans="1:23" x14ac:dyDescent="0.45">
      <c r="A42" s="10"/>
      <c r="B42" s="9" t="s">
        <v>308</v>
      </c>
      <c r="E42" s="10"/>
      <c r="H42" s="10"/>
    </row>
    <row r="43" spans="1:23" s="10" customFormat="1" x14ac:dyDescent="0.45">
      <c r="B43" s="9"/>
      <c r="I43" s="9"/>
    </row>
    <row r="44" spans="1:23" x14ac:dyDescent="0.45">
      <c r="A44" s="11" t="s">
        <v>301</v>
      </c>
      <c r="B44" s="10" t="s">
        <v>302</v>
      </c>
      <c r="E44" s="10"/>
      <c r="H44" s="10"/>
    </row>
    <row r="45" spans="1:23" x14ac:dyDescent="0.45">
      <c r="B45" s="10" t="s">
        <v>303</v>
      </c>
      <c r="E45" s="10"/>
      <c r="H45" s="10"/>
    </row>
    <row r="46" spans="1:23" x14ac:dyDescent="0.45">
      <c r="E46" s="10"/>
      <c r="H46" s="10"/>
    </row>
    <row r="47" spans="1:23" x14ac:dyDescent="0.45">
      <c r="E47" s="10"/>
      <c r="H47" s="10"/>
    </row>
    <row r="48" spans="1:23" x14ac:dyDescent="0.45">
      <c r="E48" s="10"/>
      <c r="H48" s="10"/>
    </row>
    <row r="49" spans="5:8" x14ac:dyDescent="0.45">
      <c r="E49" s="10"/>
      <c r="H49" s="10"/>
    </row>
  </sheetData>
  <sheetProtection algorithmName="SHA-512" hashValue="R7XkcmfRpjG+dkCL+QAtlwgKFqsgxbFGGk6XUakLmaL0X7buEMUx5UrVg/etvyiE0N4wK3WiHLQ4eQ8q83i4Kg==" saltValue="t8+MUP3WXT15HCpFQrMHoA==" spinCount="100000" sheet="1" objects="1" scenarios="1" formatColumns="0" formatRows="0"/>
  <mergeCells count="27">
    <mergeCell ref="D1:H1"/>
    <mergeCell ref="B16:H16"/>
    <mergeCell ref="A7:C7"/>
    <mergeCell ref="D4:H4"/>
    <mergeCell ref="D3:H3"/>
    <mergeCell ref="D2:H2"/>
    <mergeCell ref="A11:H11"/>
    <mergeCell ref="B12:H12"/>
    <mergeCell ref="B13:H13"/>
    <mergeCell ref="B14:H14"/>
    <mergeCell ref="B15:H15"/>
    <mergeCell ref="A6:H6"/>
    <mergeCell ref="A9:H10"/>
    <mergeCell ref="A8:H8"/>
    <mergeCell ref="C26:D26"/>
    <mergeCell ref="C27:D27"/>
    <mergeCell ref="C28:D28"/>
    <mergeCell ref="C29:D29"/>
    <mergeCell ref="A17:H17"/>
    <mergeCell ref="C21:D21"/>
    <mergeCell ref="C22:D22"/>
    <mergeCell ref="C23:D23"/>
    <mergeCell ref="C24:D24"/>
    <mergeCell ref="C25:D25"/>
    <mergeCell ref="C18:D18"/>
    <mergeCell ref="C19:D19"/>
    <mergeCell ref="C20:D20"/>
  </mergeCells>
  <conditionalFormatting sqref="A12:A13">
    <cfRule type="beginsWith" dxfId="413" priority="1" stopIfTrue="1" operator="beginsWith" text="Functioning At Risk">
      <formula>LEFT(A12,LEN("Functioning At Risk"))="Functioning At Risk"</formula>
    </cfRule>
    <cfRule type="beginsWith" dxfId="412" priority="2" stopIfTrue="1" operator="beginsWith" text="Not Functioning">
      <formula>LEFT(A12,LEN("Not Functioning"))="Not Functioning"</formula>
    </cfRule>
    <cfRule type="containsText" dxfId="411" priority="3" operator="containsText" text="Functioning">
      <formula>NOT(ISERROR(SEARCH("Functioning",A12)))</formula>
    </cfRule>
  </conditionalFormatting>
  <dataValidations count="3">
    <dataValidation type="list" allowBlank="1" showInputMessage="1" showErrorMessage="1" sqref="B14:I14" xr:uid="{B076FF8E-0056-4CB2-8283-32FF783F3A2C}">
      <formula1>Ecoregion</formula1>
    </dataValidation>
    <dataValidation type="list" allowBlank="1" showInputMessage="1" showErrorMessage="1" sqref="B15:I15" xr:uid="{B4F7158B-5381-43D9-B497-4253C2C0D3F8}">
      <formula1>RiverBasins</formula1>
    </dataValidation>
    <dataValidation type="list" allowBlank="1" showInputMessage="1" showErrorMessage="1" sqref="D7" xr:uid="{00000000-0002-0000-0000-000000000000}">
      <formula1>ProgramGoals</formula1>
    </dataValidation>
  </dataValidations>
  <pageMargins left="0.7" right="0.7" top="0.75" bottom="0.75" header="0.3" footer="0.3"/>
  <pageSetup orientation="landscape" r:id="rId1"/>
  <headerFooter>
    <oddFooter>&amp;LSC SQT v1.1
Project Summary</oddFooter>
  </headerFooter>
  <colBreaks count="1" manualBreakCount="1">
    <brk id="9" max="40" man="1"/>
  </colBreaks>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J31"/>
  <sheetViews>
    <sheetView zoomScale="85" zoomScaleNormal="85" workbookViewId="0">
      <selection activeCell="B6" sqref="B6"/>
    </sheetView>
  </sheetViews>
  <sheetFormatPr defaultColWidth="9.265625" defaultRowHeight="13.15" x14ac:dyDescent="0.4"/>
  <cols>
    <col min="1" max="1" width="4" style="263" customWidth="1"/>
    <col min="2" max="2" width="33.3984375" style="263" customWidth="1"/>
    <col min="3" max="3" width="40.73046875" style="263" customWidth="1"/>
    <col min="4" max="4" width="48" style="263" customWidth="1"/>
    <col min="5" max="5" width="40.73046875" style="263" customWidth="1"/>
    <col min="6" max="6" width="10.59765625" style="263" customWidth="1"/>
    <col min="7" max="16384" width="9.265625" style="263"/>
  </cols>
  <sheetData>
    <row r="1" spans="1:10" ht="46.5" customHeight="1" thickBot="1" x14ac:dyDescent="0.5">
      <c r="A1" s="261" t="s">
        <v>191</v>
      </c>
      <c r="B1" s="262"/>
      <c r="C1" s="416"/>
      <c r="D1" s="416"/>
      <c r="E1" s="416"/>
      <c r="F1" s="417"/>
    </row>
    <row r="2" spans="1:10" ht="47.65" customHeight="1" thickBot="1" x14ac:dyDescent="0.45">
      <c r="A2" s="426" t="s">
        <v>244</v>
      </c>
      <c r="B2" s="427"/>
      <c r="C2" s="264"/>
      <c r="D2" s="428" t="s">
        <v>426</v>
      </c>
      <c r="E2" s="429"/>
      <c r="F2" s="430"/>
    </row>
    <row r="3" spans="1:10" ht="3.75" customHeight="1" thickBot="1" x14ac:dyDescent="0.5">
      <c r="A3" s="265"/>
      <c r="B3" s="266"/>
      <c r="C3" s="267"/>
      <c r="D3" s="268"/>
      <c r="E3" s="269"/>
      <c r="F3" s="270"/>
    </row>
    <row r="4" spans="1:10" ht="15.75" customHeight="1" x14ac:dyDescent="0.4">
      <c r="A4" s="418" t="s">
        <v>63</v>
      </c>
      <c r="B4" s="419"/>
      <c r="C4" s="422" t="s">
        <v>64</v>
      </c>
      <c r="D4" s="422"/>
      <c r="E4" s="423"/>
      <c r="F4" s="424" t="s">
        <v>121</v>
      </c>
    </row>
    <row r="5" spans="1:10" ht="18.75" customHeight="1" thickBot="1" x14ac:dyDescent="0.45">
      <c r="A5" s="420"/>
      <c r="B5" s="421"/>
      <c r="C5" s="271" t="s">
        <v>118</v>
      </c>
      <c r="D5" s="271" t="s">
        <v>119</v>
      </c>
      <c r="E5" s="272" t="s">
        <v>120</v>
      </c>
      <c r="F5" s="425"/>
    </row>
    <row r="6" spans="1:10" ht="61.5" customHeight="1" thickBot="1" x14ac:dyDescent="0.45">
      <c r="A6" s="273">
        <v>1</v>
      </c>
      <c r="B6" s="274" t="s">
        <v>233</v>
      </c>
      <c r="C6" s="275" t="s">
        <v>311</v>
      </c>
      <c r="D6" s="275" t="s">
        <v>312</v>
      </c>
      <c r="E6" s="276" t="s">
        <v>313</v>
      </c>
      <c r="F6" s="257"/>
      <c r="G6" s="277"/>
      <c r="H6" s="277"/>
      <c r="I6" s="277"/>
      <c r="J6" s="277"/>
    </row>
    <row r="7" spans="1:10" ht="22.5" customHeight="1" thickBot="1" x14ac:dyDescent="0.45">
      <c r="A7" s="273">
        <v>2</v>
      </c>
      <c r="B7" s="274" t="s">
        <v>234</v>
      </c>
      <c r="C7" s="275" t="s">
        <v>315</v>
      </c>
      <c r="D7" s="275" t="s">
        <v>243</v>
      </c>
      <c r="E7" s="276" t="s">
        <v>314</v>
      </c>
      <c r="F7" s="278"/>
      <c r="G7" s="277"/>
      <c r="H7" s="277"/>
      <c r="I7" s="277"/>
      <c r="J7" s="277"/>
    </row>
    <row r="8" spans="1:10" ht="43.5" customHeight="1" thickBot="1" x14ac:dyDescent="0.45">
      <c r="A8" s="273">
        <v>3</v>
      </c>
      <c r="B8" s="279" t="s">
        <v>229</v>
      </c>
      <c r="C8" s="275" t="s">
        <v>367</v>
      </c>
      <c r="D8" s="275" t="s">
        <v>365</v>
      </c>
      <c r="E8" s="276" t="s">
        <v>366</v>
      </c>
      <c r="F8" s="280"/>
      <c r="G8" s="277"/>
      <c r="H8" s="277"/>
      <c r="I8" s="277"/>
      <c r="J8" s="277"/>
    </row>
    <row r="9" spans="1:10" ht="64.5" customHeight="1" thickBot="1" x14ac:dyDescent="0.45">
      <c r="A9" s="273">
        <v>4</v>
      </c>
      <c r="B9" s="279" t="s">
        <v>405</v>
      </c>
      <c r="C9" s="275" t="s">
        <v>317</v>
      </c>
      <c r="D9" s="275" t="s">
        <v>316</v>
      </c>
      <c r="E9" s="276" t="s">
        <v>293</v>
      </c>
      <c r="F9" s="278"/>
      <c r="G9" s="277"/>
      <c r="H9" s="277"/>
      <c r="I9" s="277"/>
      <c r="J9" s="277"/>
    </row>
    <row r="10" spans="1:10" ht="25.5" customHeight="1" thickBot="1" x14ac:dyDescent="0.45">
      <c r="A10" s="273">
        <v>5</v>
      </c>
      <c r="B10" s="274" t="s">
        <v>235</v>
      </c>
      <c r="C10" s="275" t="s">
        <v>241</v>
      </c>
      <c r="D10" s="275" t="s">
        <v>65</v>
      </c>
      <c r="E10" s="276" t="s">
        <v>242</v>
      </c>
      <c r="F10" s="280"/>
      <c r="G10" s="277"/>
      <c r="H10" s="277"/>
      <c r="I10" s="277"/>
      <c r="J10" s="277"/>
    </row>
    <row r="11" spans="1:10" ht="48.75" customHeight="1" thickBot="1" x14ac:dyDescent="0.45">
      <c r="A11" s="273">
        <v>6</v>
      </c>
      <c r="B11" s="279" t="s">
        <v>44</v>
      </c>
      <c r="C11" s="275" t="s">
        <v>368</v>
      </c>
      <c r="D11" s="275" t="s">
        <v>323</v>
      </c>
      <c r="E11" s="275" t="s">
        <v>324</v>
      </c>
      <c r="F11" s="281"/>
      <c r="G11" s="277"/>
      <c r="H11" s="277"/>
      <c r="I11" s="277"/>
      <c r="J11" s="277"/>
    </row>
    <row r="12" spans="1:10" ht="66.75" customHeight="1" thickBot="1" x14ac:dyDescent="0.45">
      <c r="A12" s="273">
        <v>7</v>
      </c>
      <c r="B12" s="279" t="s">
        <v>240</v>
      </c>
      <c r="C12" s="282" t="s">
        <v>318</v>
      </c>
      <c r="D12" s="275" t="s">
        <v>151</v>
      </c>
      <c r="E12" s="276" t="s">
        <v>265</v>
      </c>
      <c r="F12" s="283"/>
      <c r="G12" s="277"/>
      <c r="H12" s="277"/>
      <c r="I12" s="277"/>
      <c r="J12" s="277"/>
    </row>
    <row r="13" spans="1:10" ht="65.25" customHeight="1" thickBot="1" x14ac:dyDescent="0.45">
      <c r="A13" s="273">
        <v>8</v>
      </c>
      <c r="B13" s="279" t="s">
        <v>266</v>
      </c>
      <c r="C13" s="282" t="s">
        <v>362</v>
      </c>
      <c r="D13" s="282" t="s">
        <v>363</v>
      </c>
      <c r="E13" s="284" t="s">
        <v>267</v>
      </c>
      <c r="F13" s="283"/>
      <c r="G13" s="277"/>
      <c r="H13" s="277"/>
      <c r="I13" s="277"/>
      <c r="J13" s="277"/>
    </row>
    <row r="14" spans="1:10" s="286" customFormat="1" ht="58.9" customHeight="1" thickBot="1" x14ac:dyDescent="0.45">
      <c r="A14" s="273">
        <v>9</v>
      </c>
      <c r="B14" s="279" t="s">
        <v>239</v>
      </c>
      <c r="C14" s="282" t="s">
        <v>268</v>
      </c>
      <c r="D14" s="282" t="s">
        <v>269</v>
      </c>
      <c r="E14" s="284" t="s">
        <v>319</v>
      </c>
      <c r="F14" s="283"/>
      <c r="G14" s="285"/>
      <c r="H14" s="285"/>
      <c r="I14" s="285"/>
      <c r="J14" s="285"/>
    </row>
    <row r="15" spans="1:10" ht="40.5" customHeight="1" thickBot="1" x14ac:dyDescent="0.45">
      <c r="A15" s="273">
        <v>10</v>
      </c>
      <c r="B15" s="279" t="s">
        <v>238</v>
      </c>
      <c r="C15" s="287" t="s">
        <v>320</v>
      </c>
      <c r="D15" s="275" t="s">
        <v>321</v>
      </c>
      <c r="E15" s="275" t="s">
        <v>322</v>
      </c>
      <c r="F15" s="283"/>
      <c r="G15" s="277"/>
      <c r="H15" s="277"/>
      <c r="I15" s="277"/>
      <c r="J15" s="277"/>
    </row>
    <row r="16" spans="1:10" ht="92.25" customHeight="1" thickBot="1" x14ac:dyDescent="0.45">
      <c r="A16" s="273">
        <v>11</v>
      </c>
      <c r="B16" s="279" t="s">
        <v>237</v>
      </c>
      <c r="C16" s="282" t="s">
        <v>369</v>
      </c>
      <c r="D16" s="275" t="s">
        <v>364</v>
      </c>
      <c r="E16" s="276" t="s">
        <v>370</v>
      </c>
      <c r="F16" s="278"/>
      <c r="G16" s="277"/>
      <c r="H16" s="277"/>
      <c r="I16" s="277"/>
      <c r="J16" s="277"/>
    </row>
    <row r="17" spans="1:10" ht="81" customHeight="1" thickBot="1" x14ac:dyDescent="0.45">
      <c r="A17" s="273">
        <v>12</v>
      </c>
      <c r="B17" s="274" t="s">
        <v>236</v>
      </c>
      <c r="C17" s="282" t="s">
        <v>272</v>
      </c>
      <c r="D17" s="275" t="s">
        <v>271</v>
      </c>
      <c r="E17" s="276" t="s">
        <v>270</v>
      </c>
      <c r="F17" s="280"/>
      <c r="G17" s="277"/>
      <c r="H17" s="277"/>
      <c r="I17" s="277"/>
      <c r="J17" s="277"/>
    </row>
    <row r="18" spans="1:10" ht="32.25" customHeight="1" thickBot="1" x14ac:dyDescent="0.45">
      <c r="A18" s="288">
        <v>13</v>
      </c>
      <c r="B18" s="289" t="s">
        <v>68</v>
      </c>
      <c r="C18" s="290"/>
      <c r="D18" s="290"/>
      <c r="E18" s="290"/>
      <c r="F18" s="280"/>
      <c r="G18" s="277"/>
      <c r="H18" s="277"/>
      <c r="I18" s="277"/>
      <c r="J18" s="277"/>
    </row>
    <row r="19" spans="1:10" x14ac:dyDescent="0.4">
      <c r="A19" s="277"/>
      <c r="B19" s="277"/>
      <c r="C19" s="277"/>
      <c r="D19" s="277"/>
      <c r="E19" s="277"/>
      <c r="F19" s="277"/>
      <c r="G19" s="277"/>
      <c r="H19" s="277"/>
      <c r="I19" s="277"/>
      <c r="J19" s="277"/>
    </row>
    <row r="20" spans="1:10" x14ac:dyDescent="0.4">
      <c r="A20" s="277"/>
      <c r="B20" s="277"/>
      <c r="C20" s="277"/>
      <c r="D20" s="277"/>
      <c r="E20" s="277"/>
      <c r="F20" s="277"/>
      <c r="G20" s="277"/>
      <c r="H20" s="277"/>
      <c r="I20" s="277"/>
      <c r="J20" s="277"/>
    </row>
    <row r="21" spans="1:10" x14ac:dyDescent="0.4">
      <c r="A21" s="277"/>
      <c r="B21" s="277"/>
      <c r="C21" s="277"/>
      <c r="D21" s="277"/>
      <c r="E21" s="277"/>
      <c r="F21" s="277"/>
      <c r="G21" s="277"/>
      <c r="H21" s="277"/>
      <c r="I21" s="277"/>
      <c r="J21" s="277"/>
    </row>
    <row r="22" spans="1:10" x14ac:dyDescent="0.4">
      <c r="A22" s="277"/>
      <c r="B22" s="277"/>
      <c r="C22" s="277"/>
      <c r="D22" s="277"/>
      <c r="E22" s="277"/>
      <c r="F22" s="277"/>
      <c r="G22" s="277"/>
      <c r="H22" s="277"/>
      <c r="I22" s="277"/>
      <c r="J22" s="277"/>
    </row>
    <row r="23" spans="1:10" x14ac:dyDescent="0.4">
      <c r="A23" s="277"/>
      <c r="B23" s="277"/>
      <c r="C23" s="277"/>
      <c r="D23" s="277"/>
      <c r="E23" s="277"/>
      <c r="F23" s="277"/>
      <c r="G23" s="277"/>
      <c r="H23" s="277"/>
      <c r="I23" s="277"/>
      <c r="J23" s="277"/>
    </row>
    <row r="24" spans="1:10" x14ac:dyDescent="0.4">
      <c r="A24" s="277"/>
      <c r="B24" s="277"/>
      <c r="C24" s="277"/>
      <c r="D24" s="277"/>
      <c r="E24" s="277"/>
      <c r="F24" s="277"/>
      <c r="G24" s="277"/>
      <c r="H24" s="277"/>
      <c r="I24" s="277"/>
      <c r="J24" s="277"/>
    </row>
    <row r="25" spans="1:10" x14ac:dyDescent="0.4">
      <c r="A25" s="277"/>
      <c r="B25" s="277"/>
      <c r="C25" s="277"/>
      <c r="D25" s="277"/>
      <c r="E25" s="277"/>
      <c r="F25" s="277"/>
      <c r="G25" s="277"/>
      <c r="H25" s="277"/>
      <c r="I25" s="277"/>
      <c r="J25" s="277"/>
    </row>
    <row r="26" spans="1:10" x14ac:dyDescent="0.4">
      <c r="A26" s="277"/>
      <c r="B26" s="277"/>
      <c r="C26" s="277"/>
      <c r="D26" s="277"/>
      <c r="E26" s="277"/>
      <c r="F26" s="277"/>
      <c r="G26" s="277"/>
      <c r="H26" s="277"/>
      <c r="I26" s="277"/>
      <c r="J26" s="277"/>
    </row>
    <row r="27" spans="1:10" x14ac:dyDescent="0.4">
      <c r="A27" s="277"/>
      <c r="B27" s="277"/>
      <c r="C27" s="277"/>
      <c r="D27" s="277"/>
      <c r="E27" s="277"/>
      <c r="F27" s="277"/>
      <c r="G27" s="277"/>
      <c r="H27" s="277"/>
      <c r="I27" s="277"/>
      <c r="J27" s="277"/>
    </row>
    <row r="28" spans="1:10" x14ac:dyDescent="0.4">
      <c r="A28" s="277"/>
      <c r="B28" s="277"/>
      <c r="C28" s="277"/>
      <c r="D28" s="277"/>
      <c r="E28" s="277"/>
      <c r="F28" s="277"/>
      <c r="G28" s="277"/>
      <c r="H28" s="277"/>
      <c r="I28" s="277"/>
      <c r="J28" s="277"/>
    </row>
    <row r="29" spans="1:10" x14ac:dyDescent="0.4">
      <c r="A29" s="277"/>
      <c r="B29" s="277"/>
      <c r="C29" s="277"/>
      <c r="D29" s="277"/>
      <c r="E29" s="277"/>
      <c r="F29" s="277"/>
      <c r="G29" s="277"/>
      <c r="H29" s="277"/>
      <c r="I29" s="277"/>
      <c r="J29" s="277"/>
    </row>
    <row r="30" spans="1:10" x14ac:dyDescent="0.4">
      <c r="A30" s="277"/>
      <c r="B30" s="277"/>
      <c r="C30" s="277"/>
      <c r="D30" s="277"/>
      <c r="E30" s="277"/>
      <c r="F30" s="277"/>
      <c r="G30" s="277"/>
      <c r="H30" s="277"/>
      <c r="I30" s="277"/>
      <c r="J30" s="277"/>
    </row>
    <row r="31" spans="1:10" x14ac:dyDescent="0.4">
      <c r="A31" s="277"/>
      <c r="B31" s="277"/>
      <c r="C31" s="277"/>
      <c r="D31" s="277"/>
      <c r="E31" s="277"/>
      <c r="F31" s="277"/>
      <c r="G31" s="277"/>
      <c r="H31" s="277"/>
      <c r="I31" s="277"/>
      <c r="J31" s="277"/>
    </row>
  </sheetData>
  <sheetProtection algorithmName="SHA-512" hashValue="xthT1rzJExfsgj8QyFAXQTCtUo066nBy2Y87SD9XzMX7OQVcGILo3tNcOfiAklv7jUfdcnsm/2vQPI+8O9N5Mg==" saltValue="X4W6vSMVPTRs6NSBvaZ3sQ==" spinCount="100000" sheet="1" formatColumns="0" formatRows="0" insertHyperlinks="0"/>
  <mergeCells count="6">
    <mergeCell ref="C1:F1"/>
    <mergeCell ref="A4:B5"/>
    <mergeCell ref="C4:E4"/>
    <mergeCell ref="F4:F5"/>
    <mergeCell ref="A2:B2"/>
    <mergeCell ref="D2:F2"/>
  </mergeCells>
  <dataValidations count="1">
    <dataValidation type="list" allowBlank="1" showInputMessage="1" showErrorMessage="1" sqref="C2" xr:uid="{00000000-0002-0000-0100-000000000000}">
      <formula1>CatchmentAssessment</formula1>
    </dataValidation>
  </dataValidations>
  <printOptions horizontalCentered="1" verticalCentered="1"/>
  <pageMargins left="0.95" right="0.95" top="0.5" bottom="0.5" header="0.3" footer="0.3"/>
  <pageSetup scale="63" orientation="landscape" r:id="rId1"/>
  <headerFooter>
    <oddFooter>&amp;L&amp;12SC SQT v1.1
Catchment Assessment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G39"/>
  <sheetViews>
    <sheetView zoomScaleNormal="100" zoomScaleSheetLayoutView="100" workbookViewId="0">
      <selection activeCell="A8" sqref="A8:A9"/>
    </sheetView>
  </sheetViews>
  <sheetFormatPr defaultRowHeight="14.25" x14ac:dyDescent="0.45"/>
  <cols>
    <col min="1" max="1" width="11" customWidth="1"/>
    <col min="2" max="2" width="15.1328125" customWidth="1"/>
    <col min="3" max="3" width="28" customWidth="1"/>
    <col min="4" max="4" width="23.1328125" style="10" customWidth="1"/>
    <col min="5" max="5" width="41.1328125" style="366" customWidth="1"/>
  </cols>
  <sheetData>
    <row r="1" spans="1:7" ht="18" x14ac:dyDescent="0.55000000000000004">
      <c r="A1" s="292" t="s">
        <v>372</v>
      </c>
      <c r="B1" s="293"/>
      <c r="C1" s="293"/>
      <c r="D1" s="293"/>
      <c r="E1" s="364"/>
    </row>
    <row r="2" spans="1:7" ht="15" customHeight="1" x14ac:dyDescent="0.45">
      <c r="A2" s="434" t="s">
        <v>406</v>
      </c>
      <c r="B2" s="435"/>
      <c r="C2" s="435"/>
      <c r="D2" s="435"/>
      <c r="E2" s="436"/>
    </row>
    <row r="3" spans="1:7" x14ac:dyDescent="0.45">
      <c r="A3" s="434"/>
      <c r="B3" s="435"/>
      <c r="C3" s="435"/>
      <c r="D3" s="435"/>
      <c r="E3" s="436"/>
    </row>
    <row r="4" spans="1:7" ht="28.5" customHeight="1" x14ac:dyDescent="0.45">
      <c r="A4" s="434"/>
      <c r="B4" s="435"/>
      <c r="C4" s="435"/>
      <c r="D4" s="435"/>
      <c r="E4" s="436"/>
    </row>
    <row r="5" spans="1:7" ht="2.25" customHeight="1" x14ac:dyDescent="0.45">
      <c r="A5" s="437"/>
      <c r="B5" s="438"/>
      <c r="C5" s="438"/>
      <c r="D5" s="438"/>
      <c r="E5" s="439"/>
    </row>
    <row r="6" spans="1:7" s="10" customFormat="1" ht="6.75" customHeight="1" x14ac:dyDescent="0.45">
      <c r="A6" s="295"/>
      <c r="B6" s="258"/>
      <c r="C6" s="258"/>
      <c r="D6" s="258"/>
      <c r="E6" s="357"/>
    </row>
    <row r="7" spans="1:7" ht="33" customHeight="1" x14ac:dyDescent="0.45">
      <c r="A7" s="259" t="s">
        <v>1</v>
      </c>
      <c r="B7" s="259" t="s">
        <v>2</v>
      </c>
      <c r="C7" s="259" t="s">
        <v>253</v>
      </c>
      <c r="D7" s="259" t="s">
        <v>349</v>
      </c>
      <c r="E7" s="259" t="s">
        <v>347</v>
      </c>
    </row>
    <row r="8" spans="1:7" s="10" customFormat="1" x14ac:dyDescent="0.45">
      <c r="A8" s="443" t="s">
        <v>53</v>
      </c>
      <c r="B8" s="443" t="s">
        <v>122</v>
      </c>
      <c r="C8" s="445" t="s">
        <v>334</v>
      </c>
      <c r="D8" s="181" t="s">
        <v>152</v>
      </c>
      <c r="E8" s="445" t="s">
        <v>346</v>
      </c>
    </row>
    <row r="9" spans="1:7" s="10" customFormat="1" ht="28.5" x14ac:dyDescent="0.45">
      <c r="A9" s="444"/>
      <c r="B9" s="444"/>
      <c r="C9" s="446"/>
      <c r="D9" s="181" t="s">
        <v>407</v>
      </c>
      <c r="E9" s="446"/>
    </row>
    <row r="10" spans="1:7" ht="24.75" customHeight="1" x14ac:dyDescent="0.45">
      <c r="A10" s="440" t="s">
        <v>3</v>
      </c>
      <c r="B10" s="447" t="s">
        <v>4</v>
      </c>
      <c r="C10" s="449" t="s">
        <v>334</v>
      </c>
      <c r="D10" s="182" t="s">
        <v>354</v>
      </c>
      <c r="E10" s="447" t="s">
        <v>422</v>
      </c>
      <c r="F10" s="10"/>
      <c r="G10" s="10"/>
    </row>
    <row r="11" spans="1:7" s="10" customFormat="1" ht="33.75" customHeight="1" x14ac:dyDescent="0.45">
      <c r="A11" s="440"/>
      <c r="B11" s="448"/>
      <c r="C11" s="450"/>
      <c r="D11" s="182" t="s">
        <v>355</v>
      </c>
      <c r="E11" s="448"/>
    </row>
    <row r="12" spans="1:7" s="10" customFormat="1" ht="28.5" x14ac:dyDescent="0.45">
      <c r="A12" s="440"/>
      <c r="B12" s="191" t="s">
        <v>162</v>
      </c>
      <c r="C12" s="192" t="s">
        <v>425</v>
      </c>
      <c r="D12" s="192" t="s">
        <v>309</v>
      </c>
      <c r="E12" s="192" t="s">
        <v>423</v>
      </c>
    </row>
    <row r="13" spans="1:7" ht="14.25" customHeight="1" x14ac:dyDescent="0.45">
      <c r="A13" s="431" t="s">
        <v>19</v>
      </c>
      <c r="B13" s="451" t="s">
        <v>20</v>
      </c>
      <c r="C13" s="453" t="s">
        <v>334</v>
      </c>
      <c r="D13" s="183" t="s">
        <v>16</v>
      </c>
      <c r="E13" s="451" t="s">
        <v>374</v>
      </c>
    </row>
    <row r="14" spans="1:7" s="10" customFormat="1" x14ac:dyDescent="0.45">
      <c r="A14" s="432"/>
      <c r="B14" s="452"/>
      <c r="C14" s="454"/>
      <c r="D14" s="183" t="s">
        <v>352</v>
      </c>
      <c r="E14" s="452"/>
    </row>
    <row r="15" spans="1:7" s="10" customFormat="1" ht="36" customHeight="1" x14ac:dyDescent="0.45">
      <c r="A15" s="432"/>
      <c r="B15" s="451" t="s">
        <v>148</v>
      </c>
      <c r="C15" s="453" t="s">
        <v>381</v>
      </c>
      <c r="D15" s="180" t="s">
        <v>81</v>
      </c>
      <c r="E15" s="451" t="s">
        <v>421</v>
      </c>
    </row>
    <row r="16" spans="1:7" s="10" customFormat="1" ht="39.75" customHeight="1" x14ac:dyDescent="0.45">
      <c r="A16" s="432"/>
      <c r="B16" s="457"/>
      <c r="C16" s="458"/>
      <c r="D16" s="180" t="s">
        <v>43</v>
      </c>
      <c r="E16" s="457"/>
    </row>
    <row r="17" spans="1:7" s="10" customFormat="1" ht="39.75" customHeight="1" x14ac:dyDescent="0.45">
      <c r="A17" s="432"/>
      <c r="B17" s="457"/>
      <c r="C17" s="458"/>
      <c r="D17" s="180" t="s">
        <v>94</v>
      </c>
      <c r="E17" s="457"/>
    </row>
    <row r="18" spans="1:7" ht="39.75" customHeight="1" x14ac:dyDescent="0.45">
      <c r="A18" s="433"/>
      <c r="B18" s="452"/>
      <c r="C18" s="454"/>
      <c r="D18" s="180" t="s">
        <v>158</v>
      </c>
      <c r="E18" s="452"/>
      <c r="F18" s="10"/>
    </row>
    <row r="19" spans="1:7" s="10" customFormat="1" ht="14.25" customHeight="1" x14ac:dyDescent="0.45">
      <c r="A19" s="431" t="s">
        <v>19</v>
      </c>
      <c r="B19" s="451" t="s">
        <v>44</v>
      </c>
      <c r="C19" s="453" t="s">
        <v>334</v>
      </c>
      <c r="D19" s="180" t="s">
        <v>175</v>
      </c>
      <c r="E19" s="451" t="s">
        <v>351</v>
      </c>
    </row>
    <row r="20" spans="1:7" s="10" customFormat="1" x14ac:dyDescent="0.45">
      <c r="A20" s="432"/>
      <c r="B20" s="457"/>
      <c r="C20" s="458"/>
      <c r="D20" s="180" t="s">
        <v>155</v>
      </c>
      <c r="E20" s="457"/>
    </row>
    <row r="21" spans="1:7" s="10" customFormat="1" x14ac:dyDescent="0.45">
      <c r="A21" s="432"/>
      <c r="B21" s="457"/>
      <c r="C21" s="458"/>
      <c r="D21" s="180" t="s">
        <v>156</v>
      </c>
      <c r="E21" s="452"/>
    </row>
    <row r="22" spans="1:7" s="10" customFormat="1" ht="71.25" x14ac:dyDescent="0.45">
      <c r="A22" s="432"/>
      <c r="B22" s="457"/>
      <c r="C22" s="458"/>
      <c r="D22" s="180" t="s">
        <v>187</v>
      </c>
      <c r="E22" s="358" t="s">
        <v>353</v>
      </c>
    </row>
    <row r="23" spans="1:7" s="10" customFormat="1" ht="42.75" x14ac:dyDescent="0.45">
      <c r="A23" s="432"/>
      <c r="B23" s="457"/>
      <c r="C23" s="458"/>
      <c r="D23" s="180" t="s">
        <v>188</v>
      </c>
      <c r="E23" s="291" t="s">
        <v>360</v>
      </c>
      <c r="G23" s="260"/>
    </row>
    <row r="24" spans="1:7" s="10" customFormat="1" ht="42.75" x14ac:dyDescent="0.45">
      <c r="A24" s="432"/>
      <c r="B24" s="457"/>
      <c r="C24" s="458"/>
      <c r="D24" s="180" t="s">
        <v>331</v>
      </c>
      <c r="E24" s="358" t="s">
        <v>371</v>
      </c>
    </row>
    <row r="25" spans="1:7" ht="57" x14ac:dyDescent="0.45">
      <c r="A25" s="432"/>
      <c r="B25" s="452"/>
      <c r="C25" s="454"/>
      <c r="D25" s="180" t="s">
        <v>350</v>
      </c>
      <c r="E25" s="193" t="s">
        <v>373</v>
      </c>
      <c r="F25" s="10"/>
      <c r="G25" s="10"/>
    </row>
    <row r="26" spans="1:7" s="10" customFormat="1" ht="33" customHeight="1" x14ac:dyDescent="0.45">
      <c r="A26" s="432"/>
      <c r="B26" s="469" t="s">
        <v>45</v>
      </c>
      <c r="C26" s="453" t="s">
        <v>424</v>
      </c>
      <c r="D26" s="180" t="s">
        <v>356</v>
      </c>
      <c r="E26" s="469" t="s">
        <v>408</v>
      </c>
    </row>
    <row r="27" spans="1:7" s="10" customFormat="1" ht="33" customHeight="1" x14ac:dyDescent="0.45">
      <c r="A27" s="432"/>
      <c r="B27" s="470"/>
      <c r="C27" s="458"/>
      <c r="D27" s="180" t="s">
        <v>357</v>
      </c>
      <c r="E27" s="470"/>
    </row>
    <row r="28" spans="1:7" ht="33" customHeight="1" x14ac:dyDescent="0.45">
      <c r="A28" s="433"/>
      <c r="B28" s="471"/>
      <c r="C28" s="454"/>
      <c r="D28" s="180" t="s">
        <v>358</v>
      </c>
      <c r="E28" s="471"/>
      <c r="F28" s="10"/>
    </row>
    <row r="29" spans="1:7" ht="30.4" customHeight="1" x14ac:dyDescent="0.45">
      <c r="A29" s="459" t="s">
        <v>49</v>
      </c>
      <c r="B29" s="210" t="s">
        <v>85</v>
      </c>
      <c r="C29" s="464" t="s">
        <v>418</v>
      </c>
      <c r="D29" s="359" t="s">
        <v>359</v>
      </c>
      <c r="E29" s="359" t="s">
        <v>415</v>
      </c>
      <c r="F29" s="10"/>
    </row>
    <row r="30" spans="1:7" ht="30.4" customHeight="1" x14ac:dyDescent="0.45">
      <c r="A30" s="460"/>
      <c r="B30" s="210" t="s">
        <v>95</v>
      </c>
      <c r="C30" s="465"/>
      <c r="D30" s="367" t="s">
        <v>396</v>
      </c>
      <c r="E30" s="442" t="s">
        <v>416</v>
      </c>
    </row>
    <row r="31" spans="1:7" ht="30.4" customHeight="1" x14ac:dyDescent="0.45">
      <c r="A31" s="460"/>
      <c r="B31" s="210" t="s">
        <v>86</v>
      </c>
      <c r="C31" s="465"/>
      <c r="D31" s="359" t="s">
        <v>145</v>
      </c>
      <c r="E31" s="442"/>
    </row>
    <row r="32" spans="1:7" ht="30.4" customHeight="1" x14ac:dyDescent="0.45">
      <c r="A32" s="460"/>
      <c r="B32" s="210" t="s">
        <v>87</v>
      </c>
      <c r="C32" s="465"/>
      <c r="D32" s="359" t="s">
        <v>146</v>
      </c>
      <c r="E32" s="442"/>
    </row>
    <row r="33" spans="1:5" s="10" customFormat="1" ht="30.4" customHeight="1" x14ac:dyDescent="0.45">
      <c r="A33" s="460"/>
      <c r="B33" s="462" t="s">
        <v>397</v>
      </c>
      <c r="C33" s="465"/>
      <c r="D33" s="368" t="s">
        <v>409</v>
      </c>
      <c r="E33" s="467" t="s">
        <v>417</v>
      </c>
    </row>
    <row r="34" spans="1:5" s="10" customFormat="1" ht="30.4" customHeight="1" x14ac:dyDescent="0.45">
      <c r="A34" s="461"/>
      <c r="B34" s="463"/>
      <c r="C34" s="466"/>
      <c r="D34" s="369" t="s">
        <v>399</v>
      </c>
      <c r="E34" s="468"/>
    </row>
    <row r="35" spans="1:5" ht="62.45" customHeight="1" x14ac:dyDescent="0.45">
      <c r="A35" s="441" t="s">
        <v>50</v>
      </c>
      <c r="B35" s="363" t="s">
        <v>427</v>
      </c>
      <c r="C35" s="455" t="s">
        <v>414</v>
      </c>
      <c r="D35" s="360" t="s">
        <v>114</v>
      </c>
      <c r="E35" s="361" t="s">
        <v>419</v>
      </c>
    </row>
    <row r="36" spans="1:5" ht="62.45" customHeight="1" x14ac:dyDescent="0.45">
      <c r="A36" s="441"/>
      <c r="B36" s="22" t="s">
        <v>75</v>
      </c>
      <c r="C36" s="456"/>
      <c r="D36" s="362" t="s">
        <v>390</v>
      </c>
      <c r="E36" s="361" t="s">
        <v>420</v>
      </c>
    </row>
    <row r="37" spans="1:5" x14ac:dyDescent="0.45">
      <c r="A37" s="296" t="s">
        <v>348</v>
      </c>
      <c r="B37" s="297"/>
      <c r="C37" s="297"/>
      <c r="D37" s="297"/>
      <c r="E37" s="365"/>
    </row>
    <row r="38" spans="1:5" x14ac:dyDescent="0.45">
      <c r="B38" s="10"/>
      <c r="C38" s="10"/>
    </row>
    <row r="39" spans="1:5" x14ac:dyDescent="0.45">
      <c r="A39" s="10"/>
      <c r="B39" s="10"/>
      <c r="C39" s="10"/>
    </row>
  </sheetData>
  <sheetProtection algorithmName="SHA-512" hashValue="5O+ksisQURDthuMlICwPp1TyP48fP9Jn420/OeWePpK0CeM0MaUKR9Tg3NJF2M8q2I5gaqu/k64ukiYo8mkWYw==" saltValue="siSIyOsJ91wVzdI3O9vBPQ==" spinCount="100000" sheet="1" objects="1" scenarios="1" formatColumns="0" formatRows="0"/>
  <mergeCells count="30">
    <mergeCell ref="A29:A34"/>
    <mergeCell ref="B33:B34"/>
    <mergeCell ref="C29:C34"/>
    <mergeCell ref="E33:E34"/>
    <mergeCell ref="B26:B28"/>
    <mergeCell ref="C26:C28"/>
    <mergeCell ref="E26:E28"/>
    <mergeCell ref="E13:E14"/>
    <mergeCell ref="B15:B18"/>
    <mergeCell ref="C15:C18"/>
    <mergeCell ref="E15:E18"/>
    <mergeCell ref="B19:B25"/>
    <mergeCell ref="C19:C25"/>
    <mergeCell ref="E19:E21"/>
    <mergeCell ref="A13:A18"/>
    <mergeCell ref="A19:A28"/>
    <mergeCell ref="A2:E5"/>
    <mergeCell ref="A10:A12"/>
    <mergeCell ref="A35:A36"/>
    <mergeCell ref="E30:E32"/>
    <mergeCell ref="A8:A9"/>
    <mergeCell ref="B8:B9"/>
    <mergeCell ref="C8:C9"/>
    <mergeCell ref="E8:E9"/>
    <mergeCell ref="B10:B11"/>
    <mergeCell ref="C10:C11"/>
    <mergeCell ref="E10:E11"/>
    <mergeCell ref="B13:B14"/>
    <mergeCell ref="C13:C14"/>
    <mergeCell ref="C35:C36"/>
  </mergeCells>
  <pageMargins left="0.7" right="0.7" top="0.75" bottom="0.75" header="0.3" footer="0.3"/>
  <pageSetup fitToWidth="0" fitToHeight="0" orientation="landscape" r:id="rId1"/>
  <headerFooter>
    <oddFooter>&amp;LSC SQT v1.1
Parameter and Metric Selection</oddFooter>
  </headerFooter>
  <rowBreaks count="2" manualBreakCount="2">
    <brk id="18" max="16383" man="1"/>
    <brk id="28"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DFFD7E-3847-482B-9D20-AB3E1DF66DCD}">
  <sheetPr>
    <pageSetUpPr fitToPage="1"/>
  </sheetPr>
  <dimension ref="A1:O204"/>
  <sheetViews>
    <sheetView topLeftCell="A24" zoomScaleNormal="100" zoomScaleSheetLayoutView="100" workbookViewId="0">
      <selection activeCell="A27" sqref="A27:A28"/>
    </sheetView>
  </sheetViews>
  <sheetFormatPr defaultColWidth="9.1328125" defaultRowHeight="14.25" x14ac:dyDescent="0.45"/>
  <cols>
    <col min="1" max="1" width="16.3984375" style="10" customWidth="1"/>
    <col min="2" max="2" width="26.59765625" style="10" customWidth="1"/>
    <col min="3" max="4" width="20.265625" style="10" customWidth="1"/>
    <col min="5" max="12" width="14.265625" style="10" customWidth="1"/>
    <col min="13" max="15" width="11.265625" style="10" customWidth="1"/>
    <col min="16" max="16384" width="9.1328125" style="10"/>
  </cols>
  <sheetData>
    <row r="1" spans="1:15" ht="21" customHeight="1" x14ac:dyDescent="0.65">
      <c r="A1" s="501" t="s">
        <v>428</v>
      </c>
      <c r="B1" s="502"/>
      <c r="C1" s="503"/>
      <c r="D1" s="293"/>
      <c r="E1" s="507" t="s">
        <v>59</v>
      </c>
      <c r="F1" s="507"/>
      <c r="G1" s="507"/>
      <c r="H1" s="507"/>
      <c r="I1" s="507"/>
      <c r="J1" s="293"/>
      <c r="K1" s="293"/>
      <c r="L1" s="293"/>
      <c r="M1" s="293"/>
      <c r="N1" s="293"/>
      <c r="O1" s="294"/>
    </row>
    <row r="2" spans="1:15" ht="19.5" customHeight="1" x14ac:dyDescent="0.5">
      <c r="A2" s="504"/>
      <c r="B2" s="505"/>
      <c r="C2" s="506"/>
      <c r="D2" s="17"/>
      <c r="E2" s="508" t="s">
        <v>256</v>
      </c>
      <c r="F2" s="508"/>
      <c r="G2" s="508"/>
      <c r="H2" s="508"/>
      <c r="I2" s="508"/>
      <c r="J2" s="17"/>
      <c r="K2" s="17"/>
      <c r="L2" s="17"/>
      <c r="M2" s="17"/>
      <c r="N2" s="17"/>
      <c r="O2" s="130"/>
    </row>
    <row r="3" spans="1:15" ht="15.75" x14ac:dyDescent="0.5">
      <c r="A3" s="476" t="s">
        <v>111</v>
      </c>
      <c r="B3" s="476"/>
      <c r="C3" s="190">
        <f>'Project Summary'!B12</f>
        <v>0</v>
      </c>
      <c r="D3" s="17"/>
      <c r="E3" s="509" t="s">
        <v>125</v>
      </c>
      <c r="F3" s="509"/>
      <c r="G3" s="509"/>
      <c r="H3" s="509"/>
      <c r="I3" s="509"/>
      <c r="J3" s="17"/>
      <c r="K3" s="17"/>
      <c r="L3" s="17"/>
      <c r="M3" s="17"/>
      <c r="N3" s="17"/>
      <c r="O3" s="130"/>
    </row>
    <row r="4" spans="1:15" ht="15.75" x14ac:dyDescent="0.5">
      <c r="A4" s="476" t="s">
        <v>106</v>
      </c>
      <c r="B4" s="476"/>
      <c r="C4" s="166"/>
      <c r="D4" s="17"/>
      <c r="E4" s="510" t="s">
        <v>124</v>
      </c>
      <c r="F4" s="510"/>
      <c r="G4" s="510"/>
      <c r="H4" s="510"/>
      <c r="I4" s="510"/>
      <c r="J4" s="17"/>
      <c r="K4" s="17"/>
      <c r="L4" s="17"/>
      <c r="M4" s="17"/>
      <c r="N4" s="17"/>
      <c r="O4" s="130"/>
    </row>
    <row r="5" spans="1:15" ht="15.75" customHeight="1" x14ac:dyDescent="0.45">
      <c r="A5" s="476" t="s">
        <v>48</v>
      </c>
      <c r="B5" s="476"/>
      <c r="C5" s="206"/>
      <c r="D5" s="17"/>
      <c r="E5" s="17"/>
      <c r="F5" s="17"/>
      <c r="G5" s="17"/>
      <c r="H5" s="17"/>
      <c r="I5" s="17"/>
      <c r="J5" s="17"/>
      <c r="K5" s="17"/>
      <c r="L5" s="17"/>
      <c r="M5" s="17"/>
      <c r="N5" s="17"/>
      <c r="O5" s="130"/>
    </row>
    <row r="6" spans="1:15" ht="15.75" customHeight="1" x14ac:dyDescent="0.45">
      <c r="A6" s="476" t="s">
        <v>400</v>
      </c>
      <c r="B6" s="476"/>
      <c r="C6" s="206"/>
      <c r="D6" s="17"/>
      <c r="E6" s="17"/>
      <c r="F6" s="17"/>
      <c r="G6" s="17"/>
      <c r="H6" s="17"/>
      <c r="I6" s="17"/>
      <c r="J6" s="17"/>
      <c r="K6" s="17"/>
      <c r="L6" s="17"/>
      <c r="M6" s="17"/>
      <c r="N6" s="17"/>
      <c r="O6" s="130"/>
    </row>
    <row r="7" spans="1:15" ht="21" x14ac:dyDescent="0.65">
      <c r="A7" s="476" t="s">
        <v>332</v>
      </c>
      <c r="B7" s="476"/>
      <c r="C7" s="338">
        <f>'Project Summary'!B14</f>
        <v>0</v>
      </c>
      <c r="D7" s="17"/>
      <c r="E7" s="489" t="s">
        <v>141</v>
      </c>
      <c r="F7" s="490"/>
      <c r="G7" s="490"/>
      <c r="H7" s="491"/>
      <c r="I7" s="17"/>
      <c r="J7" s="492" t="s">
        <v>262</v>
      </c>
      <c r="K7" s="493"/>
      <c r="L7" s="493"/>
      <c r="M7" s="493"/>
      <c r="N7" s="493"/>
      <c r="O7" s="494"/>
    </row>
    <row r="8" spans="1:15" ht="15.75" x14ac:dyDescent="0.5">
      <c r="A8" s="472" t="s">
        <v>71</v>
      </c>
      <c r="B8" s="472"/>
      <c r="C8" s="338">
        <f>'Project Summary'!B15</f>
        <v>0</v>
      </c>
      <c r="D8" s="17"/>
      <c r="E8" s="477" t="s">
        <v>230</v>
      </c>
      <c r="F8" s="478"/>
      <c r="G8" s="479"/>
      <c r="H8" s="24">
        <f>IFERROR(ROUND(C141,2),"")</f>
        <v>0</v>
      </c>
      <c r="I8" s="17"/>
      <c r="J8" s="495"/>
      <c r="K8" s="496"/>
      <c r="L8" s="496"/>
      <c r="M8" s="496"/>
      <c r="N8" s="496"/>
      <c r="O8" s="497"/>
    </row>
    <row r="9" spans="1:15" ht="15.75" x14ac:dyDescent="0.5">
      <c r="A9" s="476" t="s">
        <v>57</v>
      </c>
      <c r="B9" s="476"/>
      <c r="C9" s="166"/>
      <c r="D9" s="17"/>
      <c r="E9" s="477" t="s">
        <v>117</v>
      </c>
      <c r="F9" s="478"/>
      <c r="G9" s="479"/>
      <c r="H9" s="24">
        <f>IF(C6&lt;&gt;"Yes",IFERROR(ROUND(D141,2),""),H8)</f>
        <v>0</v>
      </c>
      <c r="I9" s="17"/>
      <c r="J9" s="480"/>
      <c r="K9" s="481"/>
      <c r="L9" s="481"/>
      <c r="M9" s="481"/>
      <c r="N9" s="481"/>
      <c r="O9" s="482"/>
    </row>
    <row r="10" spans="1:15" ht="15.75" x14ac:dyDescent="0.5">
      <c r="A10" s="476" t="s">
        <v>56</v>
      </c>
      <c r="B10" s="476"/>
      <c r="C10" s="166"/>
      <c r="D10" s="17"/>
      <c r="E10" s="477" t="s">
        <v>140</v>
      </c>
      <c r="F10" s="478"/>
      <c r="G10" s="479"/>
      <c r="H10" s="66">
        <f>IFERROR(H9-H8,"")</f>
        <v>0</v>
      </c>
      <c r="I10" s="17"/>
      <c r="J10" s="483"/>
      <c r="K10" s="484"/>
      <c r="L10" s="484"/>
      <c r="M10" s="484"/>
      <c r="N10" s="484"/>
      <c r="O10" s="485"/>
    </row>
    <row r="11" spans="1:15" ht="15.75" x14ac:dyDescent="0.5">
      <c r="A11" s="476" t="s">
        <v>107</v>
      </c>
      <c r="B11" s="476"/>
      <c r="C11" s="206"/>
      <c r="D11" s="17"/>
      <c r="E11" s="498" t="s">
        <v>142</v>
      </c>
      <c r="F11" s="499"/>
      <c r="G11" s="500"/>
      <c r="H11" s="356" t="str">
        <f>IFERROR(H10/H8,"")</f>
        <v/>
      </c>
      <c r="I11" s="17"/>
      <c r="J11" s="483"/>
      <c r="K11" s="484"/>
      <c r="L11" s="484"/>
      <c r="M11" s="484"/>
      <c r="N11" s="484"/>
      <c r="O11" s="485"/>
    </row>
    <row r="12" spans="1:15" ht="15.75" x14ac:dyDescent="0.5">
      <c r="A12" s="476" t="s">
        <v>171</v>
      </c>
      <c r="B12" s="476"/>
      <c r="C12" s="206"/>
      <c r="D12" s="17"/>
      <c r="E12" s="498" t="s">
        <v>61</v>
      </c>
      <c r="F12" s="499"/>
      <c r="G12" s="500"/>
      <c r="H12" s="324" t="str">
        <f>IF(C9="","",ROUND(C9,1))</f>
        <v/>
      </c>
      <c r="I12" s="17"/>
      <c r="J12" s="483"/>
      <c r="K12" s="484"/>
      <c r="L12" s="484"/>
      <c r="M12" s="484"/>
      <c r="N12" s="484"/>
      <c r="O12" s="485"/>
    </row>
    <row r="13" spans="1:15" ht="15.75" x14ac:dyDescent="0.5">
      <c r="A13" s="472" t="s">
        <v>133</v>
      </c>
      <c r="B13" s="472"/>
      <c r="C13" s="206"/>
      <c r="D13" s="17"/>
      <c r="E13" s="473" t="s">
        <v>88</v>
      </c>
      <c r="F13" s="474"/>
      <c r="G13" s="475"/>
      <c r="H13" s="325" t="str">
        <f>IF(C10="","",ROUND(C10,1))</f>
        <v/>
      </c>
      <c r="I13" s="17"/>
      <c r="J13" s="486"/>
      <c r="K13" s="487"/>
      <c r="L13" s="487"/>
      <c r="M13" s="487"/>
      <c r="N13" s="487"/>
      <c r="O13" s="488"/>
    </row>
    <row r="14" spans="1:15" ht="15.75" x14ac:dyDescent="0.5">
      <c r="A14" s="476" t="s">
        <v>333</v>
      </c>
      <c r="B14" s="476"/>
      <c r="C14" s="166"/>
      <c r="D14" s="17"/>
      <c r="E14" s="473" t="s">
        <v>58</v>
      </c>
      <c r="F14" s="474"/>
      <c r="G14" s="475"/>
      <c r="H14" s="25" t="str">
        <f>IFERROR(H13-H12,"")</f>
        <v/>
      </c>
      <c r="I14" s="17"/>
      <c r="J14" s="414"/>
      <c r="K14" s="414"/>
      <c r="L14" s="414"/>
      <c r="M14" s="414"/>
      <c r="N14" s="414"/>
      <c r="O14" s="415"/>
    </row>
    <row r="15" spans="1:15" ht="15.75" x14ac:dyDescent="0.5">
      <c r="A15" s="472" t="s">
        <v>91</v>
      </c>
      <c r="B15" s="472"/>
      <c r="C15" s="166"/>
      <c r="D15" s="17"/>
      <c r="E15" s="473" t="s">
        <v>143</v>
      </c>
      <c r="F15" s="474"/>
      <c r="G15" s="475"/>
      <c r="H15" s="325" t="str">
        <f>IF(OR(C9="",C10=""),"",ROUND(IFERROR(H8*H12,""),1))</f>
        <v/>
      </c>
      <c r="I15" s="17"/>
      <c r="J15" s="385" t="s">
        <v>261</v>
      </c>
      <c r="K15" s="386"/>
      <c r="L15" s="386"/>
      <c r="M15" s="386"/>
      <c r="N15" s="386"/>
      <c r="O15" s="387"/>
    </row>
    <row r="16" spans="1:15" ht="15.75" x14ac:dyDescent="0.5">
      <c r="A16" s="476" t="s">
        <v>181</v>
      </c>
      <c r="B16" s="476"/>
      <c r="C16" s="206"/>
      <c r="D16" s="17"/>
      <c r="E16" s="473" t="s">
        <v>144</v>
      </c>
      <c r="F16" s="474"/>
      <c r="G16" s="475"/>
      <c r="H16" s="325" t="str">
        <f>IF(OR(C9="",C10=""),"",ROUND(IFERROR(H13*H9,""),1))</f>
        <v/>
      </c>
      <c r="I16" s="17"/>
      <c r="J16" s="480"/>
      <c r="K16" s="481"/>
      <c r="L16" s="481"/>
      <c r="M16" s="481"/>
      <c r="N16" s="481"/>
      <c r="O16" s="482"/>
    </row>
    <row r="17" spans="1:15" ht="15.75" x14ac:dyDescent="0.5">
      <c r="A17" s="513" t="s">
        <v>18</v>
      </c>
      <c r="B17" s="514"/>
      <c r="C17" s="206"/>
      <c r="D17" s="17"/>
      <c r="E17" s="515" t="s">
        <v>205</v>
      </c>
      <c r="F17" s="516"/>
      <c r="G17" s="517"/>
      <c r="H17" s="177" t="str">
        <f>IF(OR(C9="", C10=""),"",_xlfn.CONCAT(H16-H15," ",LEFT(C17,1),IF(C16="First",1,IF(C16="Second",2,IF(C16="Third",3,IF(C16="Fourth or greater","4+"))))))</f>
        <v/>
      </c>
      <c r="I17" s="17"/>
      <c r="J17" s="483"/>
      <c r="K17" s="484"/>
      <c r="L17" s="484"/>
      <c r="M17" s="484"/>
      <c r="N17" s="484"/>
      <c r="O17" s="485"/>
    </row>
    <row r="18" spans="1:15" ht="15.75" x14ac:dyDescent="0.5">
      <c r="A18" s="472" t="s">
        <v>92</v>
      </c>
      <c r="B18" s="472"/>
      <c r="C18" s="206"/>
      <c r="D18" s="17"/>
      <c r="E18" s="518" t="s">
        <v>204</v>
      </c>
      <c r="F18" s="519"/>
      <c r="G18" s="520"/>
      <c r="H18" s="66" t="str">
        <f>IFERROR((H16-H15)/H13,"")</f>
        <v/>
      </c>
      <c r="I18" s="17"/>
      <c r="J18" s="483"/>
      <c r="K18" s="484"/>
      <c r="L18" s="484"/>
      <c r="M18" s="484"/>
      <c r="N18" s="484"/>
      <c r="O18" s="485"/>
    </row>
    <row r="19" spans="1:15" ht="15.75" x14ac:dyDescent="0.5">
      <c r="A19" s="224" t="s">
        <v>289</v>
      </c>
      <c r="B19" s="225"/>
      <c r="C19" s="206"/>
      <c r="D19" s="17"/>
      <c r="E19" s="203"/>
      <c r="F19" s="203"/>
      <c r="G19" s="203"/>
      <c r="H19" s="204"/>
      <c r="I19" s="17"/>
      <c r="J19" s="483"/>
      <c r="K19" s="484"/>
      <c r="L19" s="484"/>
      <c r="M19" s="484"/>
      <c r="N19" s="484"/>
      <c r="O19" s="485"/>
    </row>
    <row r="20" spans="1:15" ht="15.75" x14ac:dyDescent="0.5">
      <c r="A20" s="224" t="s">
        <v>292</v>
      </c>
      <c r="B20" s="226"/>
      <c r="C20" s="231"/>
      <c r="D20" s="93"/>
      <c r="E20" s="203"/>
      <c r="F20" s="203"/>
      <c r="G20" s="203"/>
      <c r="H20" s="204"/>
      <c r="I20" s="17"/>
      <c r="J20" s="483"/>
      <c r="K20" s="484"/>
      <c r="L20" s="484"/>
      <c r="M20" s="484"/>
      <c r="N20" s="484"/>
      <c r="O20" s="485"/>
    </row>
    <row r="21" spans="1:15" ht="15.75" x14ac:dyDescent="0.45">
      <c r="A21" s="521" t="s">
        <v>250</v>
      </c>
      <c r="B21" s="521"/>
      <c r="C21" s="206"/>
      <c r="D21" s="17"/>
      <c r="E21" s="17"/>
      <c r="F21" s="17"/>
      <c r="G21" s="67"/>
      <c r="H21" s="17"/>
      <c r="I21" s="17"/>
      <c r="J21" s="483"/>
      <c r="K21" s="484"/>
      <c r="L21" s="484"/>
      <c r="M21" s="484"/>
      <c r="N21" s="484"/>
      <c r="O21" s="485"/>
    </row>
    <row r="22" spans="1:15" ht="18.75" customHeight="1" x14ac:dyDescent="0.45">
      <c r="A22" s="314" t="s">
        <v>82</v>
      </c>
      <c r="B22" s="315"/>
      <c r="C22" s="206"/>
      <c r="D22" s="17"/>
      <c r="E22" s="17"/>
      <c r="F22" s="17"/>
      <c r="G22" s="67"/>
      <c r="H22" s="17"/>
      <c r="I22" s="17"/>
      <c r="J22" s="483"/>
      <c r="K22" s="484"/>
      <c r="L22" s="484"/>
      <c r="M22" s="484"/>
      <c r="N22" s="484"/>
      <c r="O22" s="485"/>
    </row>
    <row r="23" spans="1:15" ht="15.75" x14ac:dyDescent="0.45">
      <c r="A23" s="521" t="s">
        <v>391</v>
      </c>
      <c r="B23" s="521"/>
      <c r="C23" s="231"/>
      <c r="D23" s="17"/>
      <c r="E23" s="17"/>
      <c r="F23" s="17"/>
      <c r="G23" s="67"/>
      <c r="H23" s="17"/>
      <c r="I23" s="17"/>
      <c r="J23" s="486"/>
      <c r="K23" s="487"/>
      <c r="L23" s="487"/>
      <c r="M23" s="487"/>
      <c r="N23" s="487"/>
      <c r="O23" s="488"/>
    </row>
    <row r="24" spans="1:15" ht="24.75" customHeight="1" x14ac:dyDescent="0.45">
      <c r="A24" s="307"/>
      <c r="B24" s="308"/>
      <c r="C24" s="308"/>
      <c r="D24" s="308"/>
      <c r="E24" s="308"/>
      <c r="F24" s="308"/>
      <c r="G24" s="308"/>
      <c r="H24" s="309"/>
      <c r="I24" s="309"/>
      <c r="J24" s="309"/>
      <c r="K24" s="309"/>
      <c r="L24" s="309"/>
      <c r="M24" s="297"/>
      <c r="N24" s="297"/>
      <c r="O24" s="298"/>
    </row>
    <row r="25" spans="1:15" ht="21" customHeight="1" x14ac:dyDescent="0.65">
      <c r="A25" s="530" t="s">
        <v>1</v>
      </c>
      <c r="B25" s="532" t="s">
        <v>2</v>
      </c>
      <c r="C25" s="533" t="s">
        <v>149</v>
      </c>
      <c r="D25" s="534"/>
      <c r="E25" s="537" t="s">
        <v>46</v>
      </c>
      <c r="F25" s="538"/>
      <c r="G25" s="538"/>
      <c r="H25" s="538"/>
      <c r="I25" s="507" t="s">
        <v>47</v>
      </c>
      <c r="J25" s="507"/>
      <c r="K25" s="507"/>
      <c r="L25" s="507"/>
    </row>
    <row r="26" spans="1:15" ht="15.75" x14ac:dyDescent="0.5">
      <c r="A26" s="531"/>
      <c r="B26" s="532"/>
      <c r="C26" s="535"/>
      <c r="D26" s="536"/>
      <c r="E26" s="161" t="s">
        <v>9</v>
      </c>
      <c r="F26" s="140" t="s">
        <v>10</v>
      </c>
      <c r="G26" s="161" t="s">
        <v>11</v>
      </c>
      <c r="H26" s="161" t="s">
        <v>12</v>
      </c>
      <c r="I26" s="161" t="s">
        <v>9</v>
      </c>
      <c r="J26" s="323" t="s">
        <v>10</v>
      </c>
      <c r="K26" s="161" t="s">
        <v>11</v>
      </c>
      <c r="L26" s="161" t="s">
        <v>12</v>
      </c>
    </row>
    <row r="27" spans="1:15" ht="15.75" x14ac:dyDescent="0.5">
      <c r="A27" s="539" t="s">
        <v>53</v>
      </c>
      <c r="B27" s="541" t="s">
        <v>122</v>
      </c>
      <c r="C27" s="85" t="s">
        <v>152</v>
      </c>
      <c r="D27" s="84"/>
      <c r="E27" s="82"/>
      <c r="F27" s="122" t="str">
        <f>IF(E27="","",IF(E27&gt;78,0,IF(E27&lt;55,1,ROUND('Reference Curves'!$C$14*E27+'Reference Curves'!$C$15,2))))</f>
        <v/>
      </c>
      <c r="G27" s="522" t="str">
        <f>IFERROR(AVERAGE(F27:F28),"")</f>
        <v/>
      </c>
      <c r="H27" s="522" t="str">
        <f>IFERROR(ROUND(AVERAGE(G27),2),"")</f>
        <v/>
      </c>
      <c r="I27" s="82"/>
      <c r="J27" s="122" t="str">
        <f>IF(I27="","",IF(I27&gt;78,0,IF(I27&lt;55,1,ROUND('Reference Curves'!$C$14*I27+'Reference Curves'!$C$15,2))))</f>
        <v/>
      </c>
      <c r="K27" s="522" t="str">
        <f>IFERROR(AVERAGE(J27:J28),"")</f>
        <v/>
      </c>
      <c r="L27" s="522" t="str">
        <f>IFERROR(ROUND(AVERAGE(K27),2),"")</f>
        <v/>
      </c>
      <c r="N27" s="15"/>
    </row>
    <row r="28" spans="1:15" ht="15.75" x14ac:dyDescent="0.5">
      <c r="A28" s="540"/>
      <c r="B28" s="542"/>
      <c r="C28" s="86" t="s">
        <v>153</v>
      </c>
      <c r="D28" s="28"/>
      <c r="E28" s="89"/>
      <c r="F28" s="83" t="str">
        <f>IF(E28="","",IF(E28&gt;3.33,0,IF(E28=0,1,ROUND('Reference Curves'!$C$48*E28+'Reference Curves'!$C$49,2))))</f>
        <v/>
      </c>
      <c r="G28" s="523"/>
      <c r="H28" s="523"/>
      <c r="I28" s="89"/>
      <c r="J28" s="83" t="str">
        <f>IF(I28="","",IF(I28&gt;3.33,0,IF(I28=0,1,ROUND('Reference Curves'!$C$48*I28+'Reference Curves'!$C$49,2))))</f>
        <v/>
      </c>
      <c r="K28" s="523"/>
      <c r="L28" s="523"/>
      <c r="N28" s="15"/>
      <c r="O28" s="15"/>
    </row>
    <row r="29" spans="1:15" ht="15.75" x14ac:dyDescent="0.5">
      <c r="A29" s="524" t="s">
        <v>3</v>
      </c>
      <c r="B29" s="525" t="s">
        <v>4</v>
      </c>
      <c r="C29" s="29" t="s">
        <v>354</v>
      </c>
      <c r="D29" s="29"/>
      <c r="E29" s="88"/>
      <c r="F29" s="123" t="str">
        <f>IF(E29="","",ROUND(IF(OR(E29&gt;1.71,E29&lt;0.34),0,IF(E29&lt;=1,1,E29*'Reference Curves'!$L$14+'Reference Curves'!$L$15)),2))</f>
        <v/>
      </c>
      <c r="G29" s="527" t="str">
        <f>IFERROR(AVERAGE(F29:F30),"")</f>
        <v/>
      </c>
      <c r="H29" s="529" t="str">
        <f>IFERROR(ROUND(AVERAGE(G29:G31),2),"")</f>
        <v/>
      </c>
      <c r="I29" s="88"/>
      <c r="J29" s="123" t="str">
        <f>IF(I29="","",ROUND(IF(OR(I29&gt;1.71,I29&lt;0.34),0,IF(I29&lt;=1,1,I29*'Reference Curves'!$L$14+'Reference Curves'!$L$15)),2))</f>
        <v/>
      </c>
      <c r="K29" s="527" t="str">
        <f>IFERROR(AVERAGE(J29:J30),"")</f>
        <v/>
      </c>
      <c r="L29" s="529" t="str">
        <f>IFERROR(ROUND(AVERAGE(K29:K31),2),"")</f>
        <v/>
      </c>
      <c r="N29" s="15"/>
      <c r="O29" s="15"/>
    </row>
    <row r="30" spans="1:15" ht="15.75" x14ac:dyDescent="0.5">
      <c r="A30" s="525"/>
      <c r="B30" s="526"/>
      <c r="C30" s="30" t="s">
        <v>355</v>
      </c>
      <c r="D30" s="30"/>
      <c r="E30" s="89"/>
      <c r="F30" s="158" t="str">
        <f>IF(E30="","",
IF(LEFT($C$12,1)="C",
ROUND(IF(E30&gt;=7.3,1,
IF(E30&lt;=1,0,
IF(E30&lt;=2.2, E30*'Reference Curves'!$L$49+'Reference Curves'!$L$50, E30*'Reference Curves'!$M$49+'Reference Curves'!$M$50))),2),
IF(LEFT($C$12,1)="B",
ROUND(IF(E30&gt;=2,1,
IF(E30&lt;=1,0,
IF(E30&lt;=1.4,E30*'Reference Curves'!$L$117+'Reference Curves'!$L$118,E30*'Reference Curves'!$M$117+'Reference Curves'!$M$118))),2), IF(OR(LEFT($C$12,1)="E"), ROUND(IF(E30&gt;=10,1,
IF(E30&lt;=1,0,
IF(E30&lt;=2.2,  E30*'Reference Curves'!$L$82+'Reference Curves'!$L$83,
E30*'Reference Curves'!$M$82+'Reference Curves'!$M$83))),2)))))</f>
        <v/>
      </c>
      <c r="G30" s="528"/>
      <c r="H30" s="527"/>
      <c r="I30" s="89"/>
      <c r="J30" s="158" t="str">
        <f>IF(I30="","",
IF(LEFT($C$12,1)="C",
ROUND(IF(I30&gt;=7.3,1,
IF(I30&lt;=1,0,
IF(I30&lt;=2.2, I30*'Reference Curves'!$L$49+'Reference Curves'!$L$50, I30*'Reference Curves'!$M$49+'Reference Curves'!$M$50))),2),
IF(LEFT($C$12,1)="B",
ROUND(IF(I30&gt;=2,1,
IF(I30&lt;=1,0,
IF(I30&lt;=1.4,I30*'Reference Curves'!$L$117+'Reference Curves'!$L$118,I30*'Reference Curves'!$M$117+'Reference Curves'!$M$118))),2),               IF(OR(LEFT($C$12,1)="E"), ROUND(IF(I30&gt;=10,1,
IF(I30&lt;=1,0,
IF(I30&lt;=2.2,  I30*'Reference Curves'!$L$82+'Reference Curves'!$L$83,
I30*'Reference Curves'!$M$82+'Reference Curves'!$M$83))),2)))))</f>
        <v/>
      </c>
      <c r="K30" s="528"/>
      <c r="L30" s="527"/>
      <c r="N30" s="15"/>
      <c r="O30" s="15"/>
    </row>
    <row r="31" spans="1:15" ht="15.75" x14ac:dyDescent="0.5">
      <c r="A31" s="526"/>
      <c r="B31" s="317" t="s">
        <v>162</v>
      </c>
      <c r="C31" s="29" t="s">
        <v>309</v>
      </c>
      <c r="D31" s="29"/>
      <c r="E31" s="88"/>
      <c r="F31" s="123" t="str">
        <f>IF(E31="","",(IF(E31&gt;=1.8,0,  IF(E31=1,1,ROUND(IF(E31&gt;1,E31*'Reference Curves'!$M$151+'Reference Curves'!$M$152, IF(E29&gt;1.2, IF(E31&lt;=0.2,0,E31*'Reference Curves'!$L$151+'Reference Curves'!$L$152),1)),2)))))</f>
        <v/>
      </c>
      <c r="G31" s="115" t="str">
        <f>IFERROR(AVERAGE(F31),"")</f>
        <v/>
      </c>
      <c r="H31" s="528"/>
      <c r="I31" s="88"/>
      <c r="J31" s="123" t="str">
        <f>IF(I31="","",(IF(I31&gt;=1.8,0,  IF(I31=1,1,ROUND(IF(I31&gt;1,I31*'Reference Curves'!$M$151+'Reference Curves'!$M$152, IF(I29&gt;1.2, IF(I31&lt;=0.2,0,I31*'Reference Curves'!$L$151+'Reference Curves'!$L$152),1)),2)))))</f>
        <v/>
      </c>
      <c r="K31" s="115" t="str">
        <f>IFERROR(AVERAGE(J31),"")</f>
        <v/>
      </c>
      <c r="L31" s="528"/>
      <c r="N31" s="15"/>
      <c r="O31" s="15"/>
    </row>
    <row r="32" spans="1:15" ht="15.75" x14ac:dyDescent="0.5">
      <c r="A32" s="556" t="s">
        <v>19</v>
      </c>
      <c r="B32" s="556" t="s">
        <v>20</v>
      </c>
      <c r="C32" s="33" t="s">
        <v>16</v>
      </c>
      <c r="D32" s="92"/>
      <c r="E32" s="82"/>
      <c r="F32" s="116" t="str">
        <f>IF(E32="","",ROUND(IF(E32&gt;=731,1,IF(E32&lt;=0,0,IF(E32&lt;355,'Reference Curves'!$U$15*E32+'Reference Curves'!$U$16,'Reference Curves'!$V$15*E32+'Reference Curves'!$V$16))),2))</f>
        <v/>
      </c>
      <c r="G32" s="553" t="str">
        <f>IFERROR(AVERAGE(F32:F33),"")</f>
        <v/>
      </c>
      <c r="H32" s="562" t="str">
        <f>IFERROR(ROUND(AVERAGE(G32:G46),2),"")</f>
        <v/>
      </c>
      <c r="I32" s="82"/>
      <c r="J32" s="116" t="str">
        <f>IF(I32="","",ROUND(IF(I32&gt;=731,1,IF(I32&lt;355,'Reference Curves'!$U$15*I32+'Reference Curves'!$U$16,'Reference Curves'!$V$15*I32+'Reference Curves'!$V$16)),2))</f>
        <v/>
      </c>
      <c r="K32" s="553" t="str">
        <f>IFERROR(AVERAGE(J32:J33),"")</f>
        <v/>
      </c>
      <c r="L32" s="562" t="str">
        <f>IFERROR(ROUND(AVERAGE(K32:K46),2),"")</f>
        <v/>
      </c>
      <c r="N32" s="15"/>
      <c r="O32" s="15"/>
    </row>
    <row r="33" spans="1:15" ht="15.75" x14ac:dyDescent="0.5">
      <c r="A33" s="557"/>
      <c r="B33" s="558"/>
      <c r="C33" s="35" t="s">
        <v>352</v>
      </c>
      <c r="D33" s="91"/>
      <c r="E33" s="89"/>
      <c r="F33" s="124" t="str">
        <f>IF(E33="","",ROUND(IF(E33&gt;=28,1,IF(E33&lt;16,'Reference Curves'!$U$49*E33+'Reference Curves'!$U$50, 'Reference Curves'!$V$49*E33+'Reference Curves'!$V$50)),2))</f>
        <v/>
      </c>
      <c r="G33" s="555"/>
      <c r="H33" s="562"/>
      <c r="I33" s="89"/>
      <c r="J33" s="124" t="str">
        <f>IF(I33="","",ROUND(IF(I33&gt;=28,1,IF(I33&lt;16,'Reference Curves'!$U$49*I33+'Reference Curves'!$U$50, 'Reference Curves'!$V$49*I33+'Reference Curves'!$V$50)),2))</f>
        <v/>
      </c>
      <c r="K33" s="555"/>
      <c r="L33" s="562"/>
      <c r="N33" s="15"/>
      <c r="O33" s="15"/>
    </row>
    <row r="34" spans="1:15" ht="15.75" x14ac:dyDescent="0.5">
      <c r="A34" s="557"/>
      <c r="B34" s="557" t="s">
        <v>148</v>
      </c>
      <c r="C34" s="31" t="s">
        <v>81</v>
      </c>
      <c r="D34" s="31"/>
      <c r="E34" s="117"/>
      <c r="F34" s="125" t="str">
        <f>IF(E34="","",
ROUND(IF(E34&gt;=0.71,0,
IF(E34&lt;=0.1,1,
IF(E34&lt;=0.2,E34*'Reference Curves'!$W$84+'Reference Curves'!$W$85,
IF(E34&gt;=0.4,E34*'Reference Curves'!$U$84+'Reference Curves'!$U$85,
E34*'Reference Curves'!$V$84+'Reference Curves'!$V$85)))),2))</f>
        <v/>
      </c>
      <c r="G34" s="563" t="str">
        <f>IFERROR(IF(E37&gt;=50,0,AVERAGE(F34:F37)),"")</f>
        <v/>
      </c>
      <c r="H34" s="562"/>
      <c r="I34" s="117"/>
      <c r="J34" s="125" t="str">
        <f>IF(I34="","",
ROUND(IF(I34&gt;=0.71,0,
IF(I34&lt;=0.1,1,
IF(I34&lt;=0.2,I34*'Reference Curves'!$W$84+'Reference Curves'!$W$85,
IF(I34&gt;=0.4,I34*'Reference Curves'!$U$84+'Reference Curves'!$U$85,
I34*'Reference Curves'!$V$84+'Reference Curves'!$V$85)))),2))</f>
        <v/>
      </c>
      <c r="K34" s="563" t="str">
        <f>IFERROR(IF(I37&gt;=50,0,AVERAGE(J34:J37)),"")</f>
        <v/>
      </c>
      <c r="L34" s="562"/>
      <c r="N34" s="15"/>
      <c r="O34" s="15"/>
    </row>
    <row r="35" spans="1:15" ht="15.75" x14ac:dyDescent="0.5">
      <c r="A35" s="557"/>
      <c r="B35" s="557"/>
      <c r="C35" s="31" t="s">
        <v>43</v>
      </c>
      <c r="D35" s="31"/>
      <c r="E35" s="207"/>
      <c r="F35" s="47" t="str">
        <f>IF(E35="","",IF(OR(E35="Ex/VL",E35="VH/VL",E35="H/M",E35="H/L",E35="H/VL"),0.2, IF(OR(LEFT(E35,2)="Ex",E35="VH/Ex",E35="VH/VH", E35="VH/H"),0,IF(OR(E35="VH/M",E35="VH/L",E35="H/Ex", E35="H/VH", E35="H/H"),0.1, IF(OR(E35="M/Ex",E35="M/VH"),0.3, IF(E35="M/H",0.4, IF(E35="M/M",0.5, IF(OR(E35="M/L",E35="M/VL"),0.6, IF(E35="L/Ex",0.7, IF(OR(LEFT(E35,1)="L",LEFT(E35,2)="VL"),1))))))))))</f>
        <v/>
      </c>
      <c r="G35" s="563"/>
      <c r="H35" s="562"/>
      <c r="I35" s="207"/>
      <c r="J35" s="47" t="str">
        <f>IF(I35="","",IF(OR(I35="Ex/VL",I35="VH/VL",I35="H/M",I35="H/L",I35="H/VL"),0.2, IF(OR(LEFT(I35,2)="Ex",I35="VH/Ex",I35="VH/VH", I35="VH/H"),0,IF(OR(I35="VH/M",I35="VH/L",I35="H/Ex", I35="H/VH", I35="H/H"),0.1, IF(OR(I35="M/Ex",I35="M/VH"),0.3, IF(I35="M/H",0.4, IF(I35="M/M",0.5, IF(OR(I35="M/L",I35="M/VL"),0.6, IF(I35="L/Ex",0.7, IF(OR(LEFT(I35,1)="L",LEFT(I35,2)="VL"),1))))))))))</f>
        <v/>
      </c>
      <c r="K35" s="563"/>
      <c r="L35" s="562"/>
      <c r="N35" s="15"/>
      <c r="O35" s="15"/>
    </row>
    <row r="36" spans="1:15" ht="15.75" x14ac:dyDescent="0.5">
      <c r="A36" s="557"/>
      <c r="B36" s="557"/>
      <c r="C36" s="34" t="s">
        <v>94</v>
      </c>
      <c r="D36" s="31"/>
      <c r="E36" s="117"/>
      <c r="F36" s="47" t="str">
        <f>IF(E36="","",ROUND(IF(E36&gt;=50,0,IF(E36&lt;=5,1,IF(E36&gt;11,E36*'Reference Curves'!$U$118+'Reference Curves'!$U$119,E36*'Reference Curves'!$V$118+'Reference Curves'!$V$119))),2))</f>
        <v/>
      </c>
      <c r="G36" s="563"/>
      <c r="H36" s="562"/>
      <c r="I36" s="117"/>
      <c r="J36" s="47" t="str">
        <f>IF(I36="","",ROUND(IF(I36&gt;=50,0,IF(I36&lt;=5,1,IF(I36&gt;11,I36*'Reference Curves'!$U$118+'Reference Curves'!$U$119,I36*'Reference Curves'!$V$118+'Reference Curves'!$V$119))),2))</f>
        <v/>
      </c>
      <c r="K36" s="563"/>
      <c r="L36" s="562"/>
      <c r="N36" s="15"/>
      <c r="O36" s="15"/>
    </row>
    <row r="37" spans="1:15" ht="15.75" x14ac:dyDescent="0.5">
      <c r="A37" s="557"/>
      <c r="B37" s="557"/>
      <c r="C37" s="32" t="s">
        <v>158</v>
      </c>
      <c r="D37" s="32"/>
      <c r="E37" s="118"/>
      <c r="F37" s="124" t="str">
        <f>IF(E37="","",ROUND(IF(E37&gt;=30,0,E37*'Reference Curves'!$U$150+'Reference Curves'!$U$151),2))</f>
        <v/>
      </c>
      <c r="G37" s="563"/>
      <c r="H37" s="562"/>
      <c r="I37" s="118"/>
      <c r="J37" s="124" t="str">
        <f>IF(I37="","",ROUND(IF(I37&gt;=30,0,I37*'Reference Curves'!$U$150+'Reference Curves'!$U$151),2))</f>
        <v/>
      </c>
      <c r="K37" s="563"/>
      <c r="L37" s="562"/>
      <c r="N37" s="15"/>
      <c r="O37" s="15"/>
    </row>
    <row r="38" spans="1:15" ht="15.75" x14ac:dyDescent="0.5">
      <c r="A38" s="557"/>
      <c r="B38" s="556" t="s">
        <v>44</v>
      </c>
      <c r="C38" s="36" t="s">
        <v>175</v>
      </c>
      <c r="D38" s="92"/>
      <c r="E38" s="120"/>
      <c r="F38" s="223" t="str">
        <f>IF(E38="","",
IF(AND($C$20="Single Family Residential",$C$19="&lt; 5 %"),
ROUND(IF(E38&lt;=0,0,IF(E38&gt;=300,1,IF(E38&gt;=50,E38*'Reference Curves'!$V$188+'Reference Curves'!$V$189,
E38*'Reference Curves'!$U$188+'Reference Curves'!$U$189))),2),
IF(AND($C$20="Single Family Residential",$C$19="5 - 20 %"),
ROUND(IF(E38&lt;=0,0,IF(E38&gt;=300,1,IF(E38&gt;=100,E38*'Reference Curves'!$X$188+'Reference Curves'!$X$189,
E38*'Reference Curves'!$W$188+'Reference Curves'!$W$189))),2),
IF(AND($C$20="Single Family Residential",$C$19="21 - 40 %"),
ROUND(IF(E38&lt;=0,0,IF(E38&gt;=300,1,IF(E38&gt;=150,E38*'Reference Curves'!$Z$188+'Reference Curves'!$Z$189,
E38*'Reference Curves'!$Y$188+'Reference Curves'!$Y$189))),2),
IF(AND($C$20="Single Family Residential",$C$19="&gt; 40 %"),
ROUND(IF(E38&lt;=0,0,IF(E38&gt;=300,1,IF(E38&gt;=200,E38*'Reference Curves'!$AB$188+'Reference Curves'!$AB$189,
E38*'Reference Curves'!$AA$188+'Reference Curves'!$AA$189))),2),                           IF(AND($C$20="Multi-Family Residential",$C$19="&lt; 5 %"),
ROUND(IF(E38&lt;=0,0,IF(E38&gt;=293,1,IF(E38&gt;=60,E38*'Reference Curves'!$V$225+'Reference Curves'!$V$226,
E38*'Reference Curves'!$U$225+'Reference Curves'!$U$226))),2),
IF(AND($C$20="Multi-Family Residential",$C$19="5 - 20 %"),
ROUND(IF(E38&lt;=0,0,IF(E38&gt;=293,1,IF(E38&gt;=120,E38*'Reference Curves'!$X$225+'Reference Curves'!$X$226,
E38*'Reference Curves'!$W$225+'Reference Curves'!$W$226))),2),
IF(AND($C$20="Multi-Family Residential",$C$19="21 - 40 %"),
ROUND(IF(E38&lt;=0,0,IF(E38&gt;=300,1,IF(E38&gt;=180,E38*'Reference Curves'!$Z$225+'Reference Curves'!$Z$226,
E38*'Reference Curves'!$Y$225+'Reference Curves'!$Y$226))),2),
IF(AND($C$20="Multi-Family Residential",$C$19="&gt; 40 %"),
ROUND(IF(E38&lt;=0,0,IF(E38&gt;=345,1,E38*'Reference Curves'!$AA$225+'Reference Curves'!$AA$226)),2),            IF(AND($C$20="Commercial / Golf Course / Agriculture / Silviculture", $C$19="&lt; 5 %"),
ROUND(IF(E38&lt;=0,0,IF(E38&gt;=300,1,IF(E38&gt;=150,E38*'Reference Curves'!$V$262+'Reference Curves'!$V$263,
E38*'Reference Curves'!$U$262+'Reference Curves'!$U$263))),2),
IF(AND($C$20="Commercial / Golf Course / Agriculture / Silviculture", $C$19="5 - 20 %"),
ROUND(IF(E38&lt;=0,0,IF(E38&gt;=300,1,IF(E38&gt;=150,E38*'Reference Curves'!$V$262+'Reference Curves'!$V$263,
E38*'Reference Curves'!$U$262+'Reference Curves'!$U$263))),2),
IF(AND($C$20="Commercial / Golf Course / Agriculture / Silviculture",$C$19="21 - 40 %"),
ROUND(IF(E38&lt;=0,0,IF(E38&gt;=322.5,1, E38*'Reference Curves'!$W$262+'Reference Curves'!$W$263)),2),
IF(AND($C$20="Commercial / Golf Course / Agriculture / Silviculture",$C$19="&gt; 40 %"),
ROUND(IF(E38&lt;=0,0,IF(E38&gt;=434.7,1,E38*'Reference Curves'!$X$262+'Reference Curves'!$X$263)),2),
                   IF(AND($C$20="Industrial / Landfill", $C$19="&lt; 5 %"),
ROUND(IF(E38&lt;=0,0,IF(E38&gt;=300,1,IF(E38&gt;=150,E38*'Reference Curves'!$V$298+'Reference Curves'!$V$299,
E38*'Reference Curves'!$U$298+'Reference Curves'!$U$299))),2),
IF(AND($C$20="Industrial / Landfill", $C$19="5 - 20 %"),
ROUND(IF(E38&lt;=0,0,IF(E38&gt;=357.1,1, E38*'Reference Curves'!$W$298+'Reference Curves'!$W$299)),2),
IF(AND($C$20="Industrial / Landfill",$C$19="21 - 40 %"),
ROUND(IF(E38&lt;=0,0,IF(E38&gt;=499.9,1, E38*'Reference Curves'!$X$298+'Reference Curves'!$X$299)),2)))))))))))))))))</f>
        <v/>
      </c>
      <c r="G38" s="553" t="str">
        <f>IFERROR(AVERAGE(F38:F43),"")</f>
        <v/>
      </c>
      <c r="H38" s="562"/>
      <c r="I38" s="120"/>
      <c r="J38" s="223" t="str">
        <f>IF(I38="","",
IF(AND($C$20="Single Family Residential",$C$19="&lt; 5 %"),
ROUND(IF(I38&lt;=0,0,IF(I38&gt;=300,1,IF(I38&gt;=50,I38*'Reference Curves'!$V$188+'Reference Curves'!$V$189,
I38*'Reference Curves'!$U$188+'Reference Curves'!$U$189))),2),
IF(AND($C$20="Single Family Residential",$C$19="5 - 20 %"),
ROUND(IF(I38&lt;=0,0,IF(I38&gt;=300,1,IF(I38&gt;=100,I38*'Reference Curves'!$X$188+'Reference Curves'!$X$189,
I38*'Reference Curves'!$W$188+'Reference Curves'!$W$189))),2),
IF(AND($C$20="Single Family Residential",$C$19="21 - 40 %"),
ROUND(IF(I38&lt;=0,0,IF(I38&gt;=300,1,IF(I38&gt;=150,I38*'Reference Curves'!$Z$188+'Reference Curves'!$Z$189,
I38*'Reference Curves'!$Y$188+'Reference Curves'!$Y$189))),2),
IF(AND($C$20="Single Family Residential",$C$19="&gt; 40 %"),
ROUND(IF(I38&lt;=0,0,IF(I38&gt;=300,1,IF(I38&gt;=200,I38*'Reference Curves'!$AB$188+'Reference Curves'!$AB$189,
I38*'Reference Curves'!$AA$188+'Reference Curves'!$AA$189))),2),                           IF(AND($C$20="Multi-Family Residential",$C$19="&lt; 5 %"),
ROUND(IF(I38&lt;=0,0,IF(I38&gt;=293,1,IF(I38&gt;=60,I38*'Reference Curves'!$V$225+'Reference Curves'!$V$226,
I38*'Reference Curves'!$U$225+'Reference Curves'!$U$226))),2),
IF(AND($C$20="Multi-Family Residential",$C$19="5 - 20 %"),
ROUND(IF(I38&lt;=0,0,IF(I38&gt;=293,1,IF(I38&gt;=120,I38*'Reference Curves'!$X$225+'Reference Curves'!$X$226,
I38*'Reference Curves'!$W$225+'Reference Curves'!$W$226))),2),
IF(AND($C$20="Multi-Family Residential",$C$19="21 - 40 %"),
ROUND(IF(I38&lt;=0,0,IF(I38&gt;=300,1,IF(I38&gt;=180,I38*'Reference Curves'!$Z$225+'Reference Curves'!$Z$226,
I38*'Reference Curves'!$Y$225+'Reference Curves'!$Y$226))),2),
IF(AND($C$20="Multi-Family Residential",$C$19="&gt; 40 %"),
ROUND(IF(I38&lt;=0,0,IF(I38&gt;=345,1,I38*'Reference Curves'!$AA$225+'Reference Curves'!$AA$226)),2),            IF(AND($C$20="Commercial / Golf Course / Agriculture / Silviculture", $C$19="&lt; 5 %"),
ROUND(IF(I38&lt;=0,0,IF(I38&gt;=300,1,IF(I38&gt;=150,I38*'Reference Curves'!$V$262+'Reference Curves'!$V$263,
I38*'Reference Curves'!$U$262+'Reference Curves'!$U$263))),2),
IF(AND($C$20="Commercial / Golf Course / Agriculture / Silviculture", $C$19="5 - 20 %"),
ROUND(IF(I38&lt;=0,0,IF(I38&gt;=300,1,IF(I38&gt;=150,I38*'Reference Curves'!$V$262+'Reference Curves'!$V$263,
I38*'Reference Curves'!$U$262+'Reference Curves'!$U$263))),2),
IF(AND($C$20="Commercial / Golf Course / Agriculture / Silviculture",$C$19="21 - 40 %"),
ROUND(IF(I38&lt;=0,0,IF(I38&gt;=322.5,1, I38*'Reference Curves'!$W$262+'Reference Curves'!$W$263)),2),
IF(AND($C$20="Commercial / Golf Course / Agriculture / Silviculture",$C$19="&gt; 40 %"),
ROUND(IF(I38&lt;=0,0,IF(I38&gt;=434.7,1,I38*'Reference Curves'!$X$262+'Reference Curves'!$X$263)),2),
                   IF(AND($C$20="Industrial / Landfill", $C$19="&lt; 5 %"),
ROUND(IF(I38&lt;=0,0,IF(I38&gt;=300,1,IF(I38&gt;=150,I38*'Reference Curves'!$V$298+'Reference Curves'!$V$299,
I38*'Reference Curves'!$U$298+'Reference Curves'!$U$299))),2),
IF(AND($C$20="Industrial / Landfill", $C$19="5 - 20 %"),
ROUND(IF(I38&lt;=0,0,IF(I38&gt;=357.1,1, I38*'Reference Curves'!$W$298+'Reference Curves'!$W$299)),2),
IF(AND($C$20="Industrial / Landfill",$C$19="21 - 40 %"),
ROUND(IF(I38&lt;=0,0,IF(I38&gt;=499.9,1, I38*'Reference Curves'!$X$298+'Reference Curves'!$X$299)),2)))))))))))))))))</f>
        <v/>
      </c>
      <c r="K38" s="553" t="str">
        <f>IFERROR(AVERAGE(J38:J43),"")</f>
        <v/>
      </c>
      <c r="L38" s="562"/>
      <c r="N38" s="15"/>
      <c r="O38" s="15"/>
    </row>
    <row r="39" spans="1:15" ht="15.75" x14ac:dyDescent="0.5">
      <c r="A39" s="557"/>
      <c r="B39" s="557"/>
      <c r="C39" s="31" t="s">
        <v>155</v>
      </c>
      <c r="D39" s="113"/>
      <c r="E39" s="119"/>
      <c r="F39" s="121" t="str">
        <f>IF(E39="","",ROUND(IF(E39&gt;=9.3,1,E39*'Reference Curves'!$U$329+'Reference Curves'!$U$330),2))</f>
        <v/>
      </c>
      <c r="G39" s="554"/>
      <c r="H39" s="562"/>
      <c r="I39" s="119"/>
      <c r="J39" s="121" t="str">
        <f>IF(I39="","",ROUND(IF(I39&gt;=9.3,1,I39*'Reference Curves'!$U$329+'Reference Curves'!$U$330),2))</f>
        <v/>
      </c>
      <c r="K39" s="554"/>
      <c r="L39" s="562"/>
      <c r="N39" s="15"/>
      <c r="O39" s="15"/>
    </row>
    <row r="40" spans="1:15" ht="15.75" x14ac:dyDescent="0.5">
      <c r="A40" s="557"/>
      <c r="B40" s="557"/>
      <c r="C40" s="31" t="s">
        <v>156</v>
      </c>
      <c r="D40" s="113"/>
      <c r="E40" s="119"/>
      <c r="F40" s="121" t="str">
        <f>IF(E40="","",ROUND(IF(AND(E40&gt;=135,E40&lt;=262),1,IF(E40&gt;=366,0.5,IF(E40&lt;135,E40*'Reference Curves'!$U$362+'Reference Curves'!$U$363,E40*'Reference Curves'!$V$362+'Reference Curves'!$V$363))),2))</f>
        <v/>
      </c>
      <c r="G40" s="554"/>
      <c r="H40" s="562"/>
      <c r="I40" s="119"/>
      <c r="J40" s="121" t="str">
        <f>IF(I40="","",ROUND(IF(AND(I40&gt;=135,I40&lt;=262),1,IF(I40&gt;=366,0.5,IF(I40&lt;135,I40*'Reference Curves'!$U$362+'Reference Curves'!$U$363,I40*'Reference Curves'!$V$362+'Reference Curves'!$V$363))),2))</f>
        <v/>
      </c>
      <c r="K40" s="554"/>
      <c r="L40" s="562"/>
      <c r="N40" s="15"/>
      <c r="O40" s="15"/>
    </row>
    <row r="41" spans="1:15" ht="15.75" x14ac:dyDescent="0.5">
      <c r="A41" s="557"/>
      <c r="B41" s="557"/>
      <c r="C41" s="31" t="s">
        <v>187</v>
      </c>
      <c r="D41" s="113"/>
      <c r="E41" s="119"/>
      <c r="F41" s="121" t="str">
        <f>IF(E41="","",  IF($C$21="&lt; 20 %",ROUND(IF(E41&gt;=566,1,E41*'Reference Curves'!$U$397+'Reference Curves'!$U$398),2)))</f>
        <v/>
      </c>
      <c r="G41" s="554"/>
      <c r="H41" s="562"/>
      <c r="I41" s="119"/>
      <c r="J41" s="121" t="str">
        <f>IF(I41="","",  IF($C$21="&lt; 20 %",ROUND(IF(I41&gt;=566,1,I41*'Reference Curves'!$U$397+'Reference Curves'!$U$398),2)))</f>
        <v/>
      </c>
      <c r="K41" s="554"/>
      <c r="L41" s="562"/>
      <c r="N41" s="15"/>
      <c r="O41" s="15"/>
    </row>
    <row r="42" spans="1:15" ht="15.75" x14ac:dyDescent="0.5">
      <c r="A42" s="557"/>
      <c r="B42" s="557"/>
      <c r="C42" s="31" t="s">
        <v>188</v>
      </c>
      <c r="D42" s="113"/>
      <c r="E42" s="119"/>
      <c r="F42" s="121" t="str">
        <f>IF(E42="","", ROUND(IF(E42&gt;=75,1,E42*'Reference Curves'!$U$432+'Reference Curves'!$U$433),2))</f>
        <v/>
      </c>
      <c r="G42" s="554"/>
      <c r="H42" s="562"/>
      <c r="I42" s="119"/>
      <c r="J42" s="121" t="str">
        <f>IF(I42="","",ROUND(IF(I42&gt;=75,1,I42*'Reference Curves'!$U$432+'Reference Curves'!$U$433),2))</f>
        <v/>
      </c>
      <c r="K42" s="554"/>
      <c r="L42" s="562"/>
      <c r="N42" s="15"/>
      <c r="O42" s="15"/>
    </row>
    <row r="43" spans="1:15" ht="15.75" x14ac:dyDescent="0.5">
      <c r="A43" s="557"/>
      <c r="B43" s="558"/>
      <c r="C43" s="31" t="s">
        <v>331</v>
      </c>
      <c r="D43" s="113"/>
      <c r="E43" s="119"/>
      <c r="F43" s="121" t="str">
        <f>IF(E43="","",IF(E43&gt;=100,0,ROUND(IF(E43&lt;=0,1,E43*'Reference Curves'!$U$467+'Reference Curves'!$U$468),2)))</f>
        <v/>
      </c>
      <c r="G43" s="555"/>
      <c r="H43" s="562"/>
      <c r="I43" s="119"/>
      <c r="J43" s="121" t="str">
        <f>IF(I43="","",IF(I43&gt;=100,0,ROUND(IF(I43&lt;=0,1,I43*'Reference Curves'!$U$467+'Reference Curves'!$U$468),2)))</f>
        <v/>
      </c>
      <c r="K43" s="555"/>
      <c r="L43" s="562"/>
      <c r="N43" s="15"/>
      <c r="O43" s="15"/>
    </row>
    <row r="44" spans="1:15" ht="15.75" x14ac:dyDescent="0.5">
      <c r="A44" s="557"/>
      <c r="B44" s="556" t="s">
        <v>45</v>
      </c>
      <c r="C44" s="36" t="s">
        <v>356</v>
      </c>
      <c r="D44" s="92"/>
      <c r="E44" s="82"/>
      <c r="F44" s="125" t="str">
        <f>IF(E44="","",
IF($C$12="Bc", ROUND(IF(E44&lt;=5,1,
IF(E44&gt;=8,0,
IF(E44&lt;6,E44*'Reference Curves'!$U$535+'Reference Curves'!$U$536,E44*'Reference Curves'!$V$535+'Reference Curves'!$V$536))),2),       IF(OR(LEFT($C$12,1)="B",LEFT($C$12,1)="A"),
ROUND(IF(E44&lt;=4,1,
IF(E44&gt;=6.5,0,
IF(E44&lt;5,E44*'Reference Curves'!$U$502+'Reference Curves'!$U$503, E44*'Reference Curves'!$V$502+'Reference Curves'!$V$503))),2),   IF(OR(LEFT($C$12,1)="E",LEFT($C$12,1)="C"),
ROUND(IF(OR(E44&gt;=9,E44&lt;=1),0,
IF(AND(E44&gt;=3.5,E44&lt;=6),1,
IF(E44&lt;3.5,E44*'Reference Curves'!$U$568+'Reference Curves'!$U$569,
E44*'Reference Curves'!$V$568+'Reference Curves'!$V$569))),2)))))</f>
        <v/>
      </c>
      <c r="G44" s="553" t="str">
        <f>IFERROR(AVERAGE(F44:F46),"")</f>
        <v/>
      </c>
      <c r="H44" s="562"/>
      <c r="I44" s="82"/>
      <c r="J44" s="125" t="str">
        <f>IF(I44="","",
IF($C$12="Bc", ROUND(IF(I44&lt;=5,1,
IF(I44&gt;=8,0,
IF(I44&lt;6,I44*'Reference Curves'!$U$535+'Reference Curves'!$U$536,I44*'Reference Curves'!$V$535+'Reference Curves'!$V$536))),2),       IF(OR(LEFT($C$12,1)="B",LEFT($C$12,1)="A"),
ROUND(IF(I44&lt;=4,1,
IF(I44&gt;=6.5,0,
IF(I44&lt;5,I44*'Reference Curves'!$U$502+'Reference Curves'!$U$503, I44*'Reference Curves'!$V$502+'Reference Curves'!$V$503))),2),   IF(OR(LEFT($C$12,1)="E",LEFT($C$12,1)="C"),
ROUND(IF(OR(I44&gt;=9,I44&lt;=1),0,
IF(AND(I44&gt;=3.5,I44&lt;=6),1,
IF(I44&lt;3.5,I44*'Reference Curves'!$U$568+'Reference Curves'!$U$569,
I44*'Reference Curves'!$V$568+'Reference Curves'!$V$569))),2)))))</f>
        <v/>
      </c>
      <c r="K44" s="553" t="str">
        <f>IFERROR(AVERAGE(J44:J46),"")</f>
        <v/>
      </c>
      <c r="L44" s="562"/>
      <c r="N44" s="15"/>
      <c r="O44" s="15"/>
    </row>
    <row r="45" spans="1:15" ht="15.75" x14ac:dyDescent="0.5">
      <c r="A45" s="557"/>
      <c r="B45" s="557"/>
      <c r="C45" s="31" t="s">
        <v>357</v>
      </c>
      <c r="D45" s="113"/>
      <c r="E45" s="88"/>
      <c r="F45" s="47" t="str">
        <f>IF(E45="","",IF(LEFT($C$12,1)="A",
IF(E45&gt;=1.7,1,
IF(E45&lt;=1,0,
ROUND(IF(E45&lt;=1.1,E45*'Reference Curves'!$U$602+'Reference Curves'!$U$603,
(IF(E45&gt;=1.4,E45*'Reference Curves'!$W$602+'Reference Curves'!$W$603,
E45*'Reference Curves'!$V$602+'Reference Curves'!$V$603))),2))),            IF(LEFT($C$12,1)="B",
IF(E45&gt;=2.9,1,
IF(E45&lt;=1,0,
ROUND(IF(E45&lt;=2,E45*'Reference Curves'!$U$635+'Reference Curves'!$U$636,
(IF(E45&gt;=2.3,E45*'Reference Curves'!$W$635+'Reference Curves'!$W$636,
E45*'Reference Curves'!$V$635+'Reference Curves'!$V$636))),2))),     IF(LEFT($C$12,1)="C",
IF(E45&gt;=2.3,1,
IF(E45&lt;=1,0,
ROUND(IF(E45&lt;=1.2,E45*'Reference Curves'!$U$668+'Reference Curves'!$U$669,
IF(E45&gt;=1.9, E45*'Reference Curves'!$W$668+'Reference Curves'!$W$669,
E45*'Reference Curves'!$V$668+ 'Reference Curves'!$V$669)),2))),          IF(LEFT($C$12,1)="E",
IF(E45&gt;=2.1,1,
IF(E45&lt;=1,0,
ROUND(IF(E45&gt;=1.7, E45*'Reference Curves'!$W$701+'Reference Curves'!$W$702, IF(E45&lt;=1.4,
E45*'Reference Curves'!$U$701+'Reference Curves'!$U$702,E45*'Reference Curves'!$V$701+'Reference Curves'!$V$702)),2))))))))</f>
        <v/>
      </c>
      <c r="G45" s="554"/>
      <c r="H45" s="562"/>
      <c r="I45" s="88"/>
      <c r="J45" s="47" t="str">
        <f>IF(I45="","",IF(LEFT($C$12,1)="A",
IF(I45&gt;=1.7,1,
IF(I45&lt;=1,0,
ROUND(IF(I45&lt;=1.1,I45*'Reference Curves'!$U$602+'Reference Curves'!$U$603,
(IF(I45&gt;=1.4,I45*'Reference Curves'!$W$602+'Reference Curves'!$W$603,
I45*'Reference Curves'!$V$602+'Reference Curves'!$V$603))),2))),            IF(LEFT($C$12,1)="B",
IF(I45&gt;=2.9,1,
IF(I45&lt;=1,0,
ROUND(IF(I45&lt;=2,I45*'Reference Curves'!$U$635+'Reference Curves'!$U$636,
(IF(I45&gt;=2.3,I45*'Reference Curves'!$W$635+'Reference Curves'!$W$636,
I45*'Reference Curves'!$V$635+'Reference Curves'!$V$636))),2))),     IF(LEFT($C$12,1)="C",
IF(I45&gt;=2.3,1,
IF(I45&lt;=1,0,
ROUND(IF(I45&lt;=1.2,I45*'Reference Curves'!$U$668+'Reference Curves'!$U$669,
IF(I45&gt;=1.9, I45*'Reference Curves'!$W$668+'Reference Curves'!$W$669,
I45*'Reference Curves'!$V$668+ 'Reference Curves'!$V$669)),2))),          IF(LEFT($C$12,1)="E",
IF(I45&gt;=2.1,1,
IF(I45&lt;=1,0,
ROUND(IF(I45&gt;=1.7, I45*'Reference Curves'!$W$701+'Reference Curves'!$W$702, IF(I45&lt;=1.4,
I45*'Reference Curves'!$U$701+'Reference Curves'!$U$702,I45*'Reference Curves'!$V$701+'Reference Curves'!$V$702)),2))))))))</f>
        <v/>
      </c>
      <c r="K45" s="554"/>
      <c r="L45" s="562"/>
      <c r="N45" s="15"/>
      <c r="O45" s="15"/>
    </row>
    <row r="46" spans="1:15" ht="15.75" x14ac:dyDescent="0.5">
      <c r="A46" s="557"/>
      <c r="B46" s="558"/>
      <c r="C46" s="37" t="s">
        <v>310</v>
      </c>
      <c r="D46" s="91"/>
      <c r="E46" s="88"/>
      <c r="F46" s="157" t="str">
        <f>IF(E46="","",IF(OR(LEFT($C$12,1)="F",LEFT($C$12,1)="G",LEFT($C$12,1)="D"),"FALSE",
IF(LEFT($C$12,1)="A",
ROUND(IF(OR(E46&gt;=100,E46&lt;=0),0,IF(E46&lt;=54,E46*'Reference Curves'!$U$735+'Reference Curves'!$U$736,
IF(E46&gt;=62,E46*'Reference Curves'!$V$735+'Reference Curves'!$V$736,1))),2),IF(LEFT($C$12,1)="B",
ROUND(IF(OR(E46&gt;=100,E46&lt;=0),0,IF(E46&lt;=53,E46*'Reference Curves'!$U$769+'Reference Curves'!$U$770,
IF(E46&gt;=61,E46*'Reference Curves'!$V$769+'Reference Curves'!$V$770,1))),2),
IF(LEFT($C$12,1)="C",
ROUND(IF(OR(E46&gt;=100,E46&lt;=0),0,
IF(E46&lt;45,E46*'Reference Curves'!$U$804+'Reference Curves'!$U$805,
IF(E46&gt;=64,E46*'Reference Curves'!$V$804+'Reference Curves'!$V$805,1))),2),
IF(LEFT($C$12,1)="E",
ROUND(IF(OR(E46&gt;=100,E46&lt;=0),0,
IF(E46&lt;43,E46*'Reference Curves'!$U$838+'Reference Curves'!$U$839,
IF(E46&gt;=63,E46*'Reference Curves'!$V$838+'Reference Curves'!$V$839,1))),2),))))))</f>
        <v/>
      </c>
      <c r="G46" s="554"/>
      <c r="H46" s="562"/>
      <c r="I46" s="88"/>
      <c r="J46" s="157" t="str">
        <f>IF(I46="","",IF(OR(LEFT($C$12,1)="F",LEFT($C$12,1)="G",LEFT($C$12,1)="D"),"FALSE",
IF(LEFT($C$12,1)="A",
ROUND(IF(OR(I46&gt;=100,I46&lt;=0),0,IF(I46&lt;=54,I46*'Reference Curves'!$U$735+'Reference Curves'!$U$736,
IF(I46&gt;=62,I46*'Reference Curves'!$V$735+'Reference Curves'!$V$736,1))),2),IF(LEFT($C$12,1)="B",
ROUND(IF(OR(I46&gt;=100,I46&lt;=0),0,IF(I46&lt;=53,I46*'Reference Curves'!$U$769+'Reference Curves'!$U$770,
IF(I46&gt;=61,I46*'Reference Curves'!$V$769+'Reference Curves'!$V$770,1))),2),
IF(LEFT($C$12,1)="C",
ROUND(IF(OR(I46&gt;=100,I46&lt;=0),0,
IF(I46&lt;45,I46*'Reference Curves'!$U$804+'Reference Curves'!$U$805,
IF(I46&gt;=64,I46*'Reference Curves'!$V$804+'Reference Curves'!$V$805,1))),2),
IF(LEFT($C$12,1)="E",
ROUND(IF(OR(I46&gt;=100,I46&lt;=0),0,
IF(I46&lt;43,I46*'Reference Curves'!$U$838+'Reference Curves'!$U$839,
IF(I46&gt;=63,I46*'Reference Curves'!$V$838+'Reference Curves'!$V$839,1))),2),))))))</f>
        <v/>
      </c>
      <c r="K46" s="554"/>
      <c r="L46" s="562"/>
      <c r="N46" s="15"/>
      <c r="O46" s="15"/>
    </row>
    <row r="47" spans="1:15" ht="15.75" x14ac:dyDescent="0.5">
      <c r="A47" s="559" t="s">
        <v>49</v>
      </c>
      <c r="B47" s="318" t="s">
        <v>85</v>
      </c>
      <c r="C47" s="209" t="s">
        <v>359</v>
      </c>
      <c r="D47" s="209"/>
      <c r="E47" s="23"/>
      <c r="F47" s="214" t="str">
        <f>IF(E47="","",IF($C$22="Coldwater",IF(E47&gt;=77,0,IF(E47&lt;=58.04,1,ROUND(E47*'Reference Curves'!$AF$15+'Reference Curves'!$AF$16,2)))))</f>
        <v/>
      </c>
      <c r="G47" s="214" t="str">
        <f t="shared" ref="G47:G54" si="0">IFERROR(AVERAGE(F47),"")</f>
        <v/>
      </c>
      <c r="H47" s="543" t="str">
        <f>IFERROR(ROUND(AVERAGE(G47:G52),2),"")</f>
        <v/>
      </c>
      <c r="I47" s="23"/>
      <c r="J47" s="214" t="str">
        <f>IF(I47="","",IF($C$22="Coldwater",IF(I47&gt;=77,0,IF(I47&lt;=58.04,1,ROUND(I47*'Reference Curves'!$AF$15+'Reference Curves'!$AF$16,2)))))</f>
        <v/>
      </c>
      <c r="K47" s="214" t="str">
        <f t="shared" ref="K47:K54" si="1">IFERROR(AVERAGE(J47),"")</f>
        <v/>
      </c>
      <c r="L47" s="543" t="str">
        <f>IFERROR(ROUND(AVERAGE(K47:K52),2),"")</f>
        <v/>
      </c>
      <c r="N47" s="15"/>
      <c r="O47" s="15"/>
    </row>
    <row r="48" spans="1:15" ht="15.75" x14ac:dyDescent="0.5">
      <c r="A48" s="560"/>
      <c r="B48" s="210" t="s">
        <v>95</v>
      </c>
      <c r="C48" s="211" t="s">
        <v>396</v>
      </c>
      <c r="D48" s="211"/>
      <c r="E48" s="23"/>
      <c r="F48" s="214" t="str">
        <f>IF(E48="","",
ROUND(IF(E48&gt;='Reference Curves'!$AJ$50,0,
IF(E48&lt;=35,1,
IF(E48&gt;=121,E48*'Reference Curves'!$AF$49+'Reference Curves'!$AF$50,
E48*'Reference Curves'!$AG$49+'Reference Curves'!$AG$50))),2))</f>
        <v/>
      </c>
      <c r="G48" s="214" t="str">
        <f t="shared" si="0"/>
        <v/>
      </c>
      <c r="H48" s="543"/>
      <c r="I48" s="23"/>
      <c r="J48" s="214" t="str">
        <f>IF(I48="","",
ROUND(IF(I48&gt;='Reference Curves'!$AJ$50,0,
IF(I48&lt;=35,1,
IF(I48&gt;=121,I48*'Reference Curves'!$AF$49+'Reference Curves'!$AF$50,
I48*'Reference Curves'!$AG$49+'Reference Curves'!$AG$50))),2))</f>
        <v/>
      </c>
      <c r="K48" s="214" t="str">
        <f t="shared" si="1"/>
        <v/>
      </c>
      <c r="L48" s="543"/>
      <c r="O48" s="15"/>
    </row>
    <row r="49" spans="1:15" ht="15.75" x14ac:dyDescent="0.5">
      <c r="A49" s="560"/>
      <c r="B49" s="212" t="s">
        <v>86</v>
      </c>
      <c r="C49" s="212" t="s">
        <v>145</v>
      </c>
      <c r="D49" s="213"/>
      <c r="E49" s="88"/>
      <c r="F49" s="214" t="str">
        <f>IF(E49="","",
IF(E49&gt;=2.3,0,
IF(E49&lt;=0.4,1,
ROUND(IF(E49&lt;0.8,E49*'Reference Curves'!$AG$85+'Reference Curves'!$AG$86,E49*'Reference Curves'!$AF$85+'Reference Curves'!$AF$86),2))))</f>
        <v/>
      </c>
      <c r="G49" s="215" t="str">
        <f t="shared" si="0"/>
        <v/>
      </c>
      <c r="H49" s="543"/>
      <c r="I49" s="88"/>
      <c r="J49" s="214" t="str">
        <f>IF(I49="","",
IF(I49&gt;=2.3,0,
IF(I49&lt;=0.4,1,
ROUND(IF(I49&lt;0.8,I49*'Reference Curves'!$AG$85+'Reference Curves'!$AG$86,I49*'Reference Curves'!$AF$85+'Reference Curves'!$AF$86),2))))</f>
        <v/>
      </c>
      <c r="K49" s="215" t="str">
        <f t="shared" si="1"/>
        <v/>
      </c>
      <c r="L49" s="543"/>
      <c r="O49" s="15"/>
    </row>
    <row r="50" spans="1:15" ht="15.75" x14ac:dyDescent="0.5">
      <c r="A50" s="560"/>
      <c r="B50" s="212" t="s">
        <v>87</v>
      </c>
      <c r="C50" s="346" t="s">
        <v>146</v>
      </c>
      <c r="D50" s="347"/>
      <c r="E50" s="23"/>
      <c r="F50" s="214" t="str">
        <f>IF(E50="","",
IF(E50&gt;=0.2,0,
IF(E50&lt;=0.04,1,
ROUND(IF(E50&lt;0.08,E50*'Reference Curves'!$AG$118+'Reference Curves'!$AG$119,
E50*'Reference Curves'!$AF$118+'Reference Curves'!$AF$119),2)
)))</f>
        <v/>
      </c>
      <c r="G50" s="215" t="str">
        <f t="shared" ref="G50" si="2">IFERROR(AVERAGE(F50),"")</f>
        <v/>
      </c>
      <c r="H50" s="543"/>
      <c r="I50" s="23"/>
      <c r="J50" s="215" t="str">
        <f>IF(I50="","",
IF(I50&gt;=0.2,0,
IF(I50&lt;=0.04,1,
ROUND(IF(I50&lt;0.08,I50*'Reference Curves'!$AG$118+'Reference Curves'!$AG$119,
I50*'Reference Curves'!$AF$118+'Reference Curves'!$AF$119),2)
)))</f>
        <v/>
      </c>
      <c r="K50" s="215" t="str">
        <f t="shared" si="1"/>
        <v/>
      </c>
      <c r="L50" s="543"/>
      <c r="O50" s="15"/>
    </row>
    <row r="51" spans="1:15" ht="15.75" x14ac:dyDescent="0.5">
      <c r="A51" s="560"/>
      <c r="B51" s="511" t="s">
        <v>397</v>
      </c>
      <c r="C51" s="346" t="s">
        <v>409</v>
      </c>
      <c r="D51" s="347"/>
      <c r="E51" s="351"/>
      <c r="F51" s="214" t="str">
        <f>IF(E51="","",
IF(E51&gt;=100,0,
IF(E51&lt;=10,1,
ROUND(IF(E51&lt;50,E51*'Reference Curves'!$AG$152+'Reference Curves'!$AG$153,
E51*'Reference Curves'!$AF$152+'Reference Curves'!$AF$153),2)
)))</f>
        <v/>
      </c>
      <c r="G51" s="546" t="str">
        <f>IFERROR(AVERAGE(F51:F52),"")</f>
        <v/>
      </c>
      <c r="H51" s="561"/>
      <c r="I51" s="82"/>
      <c r="J51" s="214" t="str">
        <f>IF(I51="","",
IF(I51&gt;=100,0,
IF(I51&lt;=10,1,
ROUND(IF(I51&lt;50,I51*'Reference Curves'!$AG$152+'Reference Curves'!$AG$153,
I51*'Reference Curves'!$AF$152+'Reference Curves'!$AF$153),2)
)))</f>
        <v/>
      </c>
      <c r="K51" s="546" t="str">
        <f>IFERROR(AVERAGE(J51:J52),"")</f>
        <v/>
      </c>
      <c r="L51" s="543"/>
      <c r="O51" s="15"/>
    </row>
    <row r="52" spans="1:15" ht="15.75" x14ac:dyDescent="0.5">
      <c r="A52" s="560"/>
      <c r="B52" s="512"/>
      <c r="C52" s="344" t="s">
        <v>399</v>
      </c>
      <c r="D52" s="349"/>
      <c r="E52" s="118"/>
      <c r="F52" s="232" t="str">
        <f>IF(E52="","",
IF(E52&gt;=100,0,
IF(E52&lt;=10,1,
ROUND(IF(E52&lt;50,E52*'Reference Curves'!$AG$152+'Reference Curves'!$AG$153,
E52*'Reference Curves'!$AF$152+'Reference Curves'!$AF$153),2)
)))</f>
        <v/>
      </c>
      <c r="G52" s="547"/>
      <c r="H52" s="561"/>
      <c r="I52" s="89"/>
      <c r="J52" s="232" t="str">
        <f>IF(I52="","",
IF(I52&gt;=100,0,
IF(I52&lt;=10,1,
ROUND(IF(I52&lt;50,I52*'Reference Curves'!$AG$152+'Reference Curves'!$AG$153,
I52*'Reference Curves'!$AF$152+'Reference Curves'!$AF$153),2)
)))</f>
        <v/>
      </c>
      <c r="K52" s="547"/>
      <c r="L52" s="543"/>
      <c r="O52" s="15"/>
    </row>
    <row r="53" spans="1:15" ht="15.75" x14ac:dyDescent="0.5">
      <c r="A53" s="564" t="s">
        <v>50</v>
      </c>
      <c r="B53" s="337" t="s">
        <v>157</v>
      </c>
      <c r="C53" s="228" t="s">
        <v>114</v>
      </c>
      <c r="D53" s="38"/>
      <c r="E53" s="355"/>
      <c r="F53" s="339" t="str">
        <f>IF(E53="","",
IF($C$7="Blue Ridge Mountains",
ROUND(IF(E53&lt;=0,0,
IF(E53&gt;=36,1,
IF(E53&lt;=19,E53*'Reference Curves'!$AO$15+'Reference Curves'!$AO$16,
IF(E53&gt;=28, E53*'Reference Curves'!$AQ$15+'Reference Curves'!$AQ$16,
E53*'Reference Curves'!$AP$15+'Reference Curves'!$AP$16 )))),2),
IF($C$7="Piedmont",
ROUND(IF(E53&lt;=0,0,
IF(E53&gt;=28,1,
IF(E53&lt;=14,E53*'Reference Curves'!$AO$49+'Reference Curves'!$AO$50,
IF(E53&gt;=21, E53*'Reference Curves'!$AQ$49+'Reference Curves'!$AQ$50,
E53*'Reference Curves'!$AP$49+'Reference Curves'!$AP$50 )))),2),
IF(OR($C$7="Southeastern Plains",$C$7="Middle Atlantic Coastal Plain"),
ROUND(IF(E53&lt;=0,0,
IF(E53&gt;=15,1,
IF(E53&lt;=5, E53*'Reference Curves'!$AO$83+'Reference Curves'!$AO$84,
IF(E53&gt;=10,E53*'Reference Curves'!$AQ$83+'Reference Curves'!$AQ$84,
E53*'Reference Curves'!$AP$83+'Reference Curves'!$AP$84)))),2)))))</f>
        <v/>
      </c>
      <c r="G53" s="348" t="str">
        <f t="shared" si="0"/>
        <v/>
      </c>
      <c r="H53" s="544" t="str">
        <f>IFERROR(ROUND(AVERAGE(G53:G54),2),"")</f>
        <v/>
      </c>
      <c r="I53" s="355"/>
      <c r="J53" s="339" t="str">
        <f>IF(I53="","",
IF($C$7="Blue Ridge Mountains",
ROUND(IF(I53&lt;=0,0,
IF(I53&gt;=36,1,
IF(I53&lt;=19,I53*'Reference Curves'!$AO$15+'Reference Curves'!$AO$16,
IF(I53&gt;=28, I53*'Reference Curves'!$AQ$15+'Reference Curves'!$AQ$16,
I53*'Reference Curves'!$AP$15+'Reference Curves'!$AP$16 )))),2),
IF($C$7="Piedmont",
ROUND(IF(I53&lt;=0,0,
IF(I53&gt;=28,1,
IF(I53&lt;=14,I53*'Reference Curves'!$AO$49+'Reference Curves'!$AO$50,
IF(I53&gt;=21, I53*'Reference Curves'!$AQ$49+'Reference Curves'!$AQ$50,
I53*'Reference Curves'!$AP$49+'Reference Curves'!$AP$50 )))),2),
IF(OR($C$7="Southeastern Plains",$C$7="Middle Atlantic Coastal Plain"),
ROUND(IF(I53&lt;=0,0,
IF(I53&gt;=15,1,
IF(I53&lt;=5, I53*'Reference Curves'!$AO$83+'Reference Curves'!$AO$84,
IF(I53&gt;=10,I53*'Reference Curves'!$AQ$83+'Reference Curves'!$AQ$84,
I53*'Reference Curves'!$AP$83+'Reference Curves'!$AP$84)))),2)))))</f>
        <v/>
      </c>
      <c r="K53" s="321" t="str">
        <f t="shared" si="1"/>
        <v/>
      </c>
      <c r="L53" s="544" t="str">
        <f>IFERROR(ROUND(AVERAGE(K53:K54),2),"")</f>
        <v/>
      </c>
      <c r="O53" s="15"/>
    </row>
    <row r="54" spans="1:15" ht="15.75" x14ac:dyDescent="0.5">
      <c r="A54" s="565"/>
      <c r="B54" s="300" t="s">
        <v>75</v>
      </c>
      <c r="C54" s="38" t="s">
        <v>390</v>
      </c>
      <c r="D54" s="38"/>
      <c r="E54" s="355"/>
      <c r="F54" s="340" t="str">
        <f>IF(E54="","",
IF($C$23="1 - Upland Santee/Pee-Dee Basin",
IF(E54&lt;-1,0,
IF(E54&gt;=1,1,
ROUND(IF(E54&gt;=0.05,E54*'Reference Curves'!$AP$116+'Reference Curves'!$AP$117,
E54*'Reference Curves'!$AO$116+'Reference Curves'!$AO$117),2))),
IF($C$23="2 - Upland Savannah",
IF(E54&lt;-1,0,
IF(E54&gt;=1,1,
ROUND(IF(E54&gt;=0.002,E54*'Reference Curves'!$AP$150+'Reference Curves'!$AP$151,
E54*'Reference Curves'!$AO$150+'Reference Curves'!$AO$151),2))),
IF($C$23="3 - Lowland Perennial",
IF(E54&lt;-1,0,
IF(E54&gt;=1,1,
ROUND(IF(E54&gt;=0.005,E54*'Reference Curves'!$AP$185+'Reference Curves'!$AP$186,
E54*'Reference Curves'!$AO$185+'Reference Curves'!$AO$186),2))),
IF($C$23= "4 - Lowland Stable Baseflow",
IF(E54&lt;-1,0,
IF(E54&gt;=1,1,
ROUND(IF(E54&gt;=0.3,E54*'Reference Curves'!$AP$219+'Reference Curves'!$AP$220,
E54*'Reference Curves'!$AO$219+'Reference Curves'!$AO$220),2))))))))</f>
        <v/>
      </c>
      <c r="G54" s="46" t="str">
        <f t="shared" si="0"/>
        <v/>
      </c>
      <c r="H54" s="545"/>
      <c r="I54" s="355"/>
      <c r="J54" s="340" t="str">
        <f>IF(I54="","",
IF($C$23="1 - Upland Santee/Pee-Dee Basin",
IF(I54&lt;-1,0,
IF(I54&gt;=1,1,
ROUND(IF(I54&gt;=0.05,I54*'Reference Curves'!$AP$116+'Reference Curves'!$AP$117,
I54*'Reference Curves'!$AO$116+'Reference Curves'!$AO$117),2))),
IF($C$23="2 - Upland Savannah",
IF(I54&lt;-1,0,
IF(I54&gt;=1,1,
ROUND(IF(I54&gt;=0.002,I54*'Reference Curves'!$AP$150+'Reference Curves'!$AP$151,
I54*'Reference Curves'!$AO$150+'Reference Curves'!$AO$151),2))),
IF($C$23="3 - Lowland Perennial",
IF(I54&lt;-1,0,
IF(I54&gt;=1,1,
ROUND(IF(I54&gt;=0.005,I54*'Reference Curves'!$AP$185+'Reference Curves'!$AP$186,
I54*'Reference Curves'!$AO$185+'Reference Curves'!$AO$186),2))),
IF($C$23= "4 - Lowland Stable Baseflow",
IF(I54&lt;-1,0,
IF(I54&gt;=1,1,
ROUND(IF(I54&gt;=0.3,I54*'Reference Curves'!$AP$219+'Reference Curves'!$AP$220,
I54*'Reference Curves'!$AO$219+'Reference Curves'!$AO$220),2))))))))</f>
        <v/>
      </c>
      <c r="K54" s="46" t="str">
        <f t="shared" si="1"/>
        <v/>
      </c>
      <c r="L54" s="545"/>
    </row>
    <row r="55" spans="1:15" x14ac:dyDescent="0.45">
      <c r="I55" s="18"/>
      <c r="J55" s="18"/>
      <c r="K55" s="18"/>
      <c r="L55" s="17"/>
    </row>
    <row r="56" spans="1:15" ht="21" x14ac:dyDescent="0.65">
      <c r="A56" s="548" t="s">
        <v>178</v>
      </c>
      <c r="B56" s="549"/>
      <c r="C56" s="137"/>
      <c r="D56" s="141" t="s">
        <v>179</v>
      </c>
      <c r="E56" s="23"/>
      <c r="F56" s="23"/>
      <c r="G56" s="23"/>
      <c r="H56" s="23"/>
      <c r="I56" s="23"/>
      <c r="J56" s="23"/>
      <c r="K56" s="23"/>
      <c r="L56" s="23"/>
      <c r="M56" s="23"/>
      <c r="N56" s="23"/>
      <c r="O56" s="23"/>
    </row>
    <row r="57" spans="1:15" ht="16.899999999999999" customHeight="1" x14ac:dyDescent="0.65">
      <c r="A57" s="532" t="s">
        <v>1</v>
      </c>
      <c r="B57" s="532" t="s">
        <v>2</v>
      </c>
      <c r="C57" s="178"/>
      <c r="D57" s="179" t="s">
        <v>251</v>
      </c>
      <c r="E57" s="23"/>
      <c r="F57" s="23"/>
      <c r="G57" s="23"/>
      <c r="H57" s="23"/>
      <c r="I57" s="23"/>
      <c r="J57" s="23"/>
      <c r="K57" s="23"/>
      <c r="L57" s="23"/>
      <c r="M57" s="23"/>
      <c r="N57" s="23"/>
      <c r="O57" s="23"/>
    </row>
    <row r="58" spans="1:15" ht="19.5" customHeight="1" x14ac:dyDescent="0.5">
      <c r="A58" s="532"/>
      <c r="B58" s="532"/>
      <c r="C58" s="322" t="s">
        <v>149</v>
      </c>
      <c r="D58" s="323"/>
      <c r="E58" s="550" t="s">
        <v>207</v>
      </c>
      <c r="F58" s="551"/>
      <c r="G58" s="551"/>
      <c r="H58" s="551"/>
      <c r="I58" s="551"/>
      <c r="J58" s="551"/>
      <c r="K58" s="551"/>
      <c r="L58" s="551"/>
      <c r="M58" s="551"/>
      <c r="N58" s="551"/>
      <c r="O58" s="552"/>
    </row>
    <row r="59" spans="1:15" ht="15.75" x14ac:dyDescent="0.5">
      <c r="A59" s="539" t="s">
        <v>53</v>
      </c>
      <c r="B59" s="541" t="s">
        <v>122</v>
      </c>
      <c r="C59" s="85" t="s">
        <v>152</v>
      </c>
      <c r="D59" s="84"/>
      <c r="E59" s="82"/>
      <c r="F59" s="82"/>
      <c r="G59" s="82"/>
      <c r="H59" s="82"/>
      <c r="I59" s="82"/>
      <c r="J59" s="82"/>
      <c r="K59" s="82"/>
      <c r="L59" s="82"/>
      <c r="M59" s="82"/>
      <c r="N59" s="82"/>
      <c r="O59" s="82"/>
    </row>
    <row r="60" spans="1:15" ht="15.75" x14ac:dyDescent="0.5">
      <c r="A60" s="540"/>
      <c r="B60" s="542"/>
      <c r="C60" s="86" t="s">
        <v>153</v>
      </c>
      <c r="D60" s="28"/>
      <c r="E60" s="89"/>
      <c r="F60" s="89"/>
      <c r="G60" s="89"/>
      <c r="H60" s="89"/>
      <c r="I60" s="89"/>
      <c r="J60" s="89"/>
      <c r="K60" s="89"/>
      <c r="L60" s="89"/>
      <c r="M60" s="89"/>
      <c r="N60" s="89"/>
      <c r="O60" s="89"/>
    </row>
    <row r="61" spans="1:15" ht="15.75" x14ac:dyDescent="0.5">
      <c r="A61" s="524" t="s">
        <v>3</v>
      </c>
      <c r="B61" s="525" t="s">
        <v>4</v>
      </c>
      <c r="C61" s="29" t="s">
        <v>354</v>
      </c>
      <c r="D61" s="29"/>
      <c r="E61" s="88"/>
      <c r="F61" s="88"/>
      <c r="G61" s="88"/>
      <c r="H61" s="88"/>
      <c r="I61" s="88"/>
      <c r="J61" s="88"/>
      <c r="K61" s="88"/>
      <c r="L61" s="88"/>
      <c r="M61" s="88"/>
      <c r="N61" s="88"/>
      <c r="O61" s="88"/>
    </row>
    <row r="62" spans="1:15" ht="15.75" x14ac:dyDescent="0.5">
      <c r="A62" s="525"/>
      <c r="B62" s="526"/>
      <c r="C62" s="30" t="s">
        <v>355</v>
      </c>
      <c r="D62" s="30"/>
      <c r="E62" s="89"/>
      <c r="F62" s="89"/>
      <c r="G62" s="89"/>
      <c r="H62" s="89"/>
      <c r="I62" s="89"/>
      <c r="J62" s="89"/>
      <c r="K62" s="89"/>
      <c r="L62" s="89"/>
      <c r="M62" s="89"/>
      <c r="N62" s="89"/>
      <c r="O62" s="89"/>
    </row>
    <row r="63" spans="1:15" ht="15.75" x14ac:dyDescent="0.5">
      <c r="A63" s="526"/>
      <c r="B63" s="317" t="s">
        <v>162</v>
      </c>
      <c r="C63" s="29" t="s">
        <v>309</v>
      </c>
      <c r="D63" s="29"/>
      <c r="E63" s="88"/>
      <c r="F63" s="88"/>
      <c r="G63" s="88"/>
      <c r="H63" s="88"/>
      <c r="I63" s="88"/>
      <c r="J63" s="88"/>
      <c r="K63" s="88"/>
      <c r="L63" s="88"/>
      <c r="M63" s="88"/>
      <c r="N63" s="88"/>
      <c r="O63" s="88"/>
    </row>
    <row r="64" spans="1:15" ht="15.75" x14ac:dyDescent="0.5">
      <c r="A64" s="556" t="s">
        <v>19</v>
      </c>
      <c r="B64" s="556" t="s">
        <v>20</v>
      </c>
      <c r="C64" s="33" t="s">
        <v>16</v>
      </c>
      <c r="D64" s="92"/>
      <c r="E64" s="82"/>
      <c r="F64" s="82"/>
      <c r="G64" s="82"/>
      <c r="H64" s="82"/>
      <c r="I64" s="82"/>
      <c r="J64" s="82"/>
      <c r="K64" s="82"/>
      <c r="L64" s="82"/>
      <c r="M64" s="82"/>
      <c r="N64" s="82"/>
      <c r="O64" s="82"/>
    </row>
    <row r="65" spans="1:15" ht="15.75" x14ac:dyDescent="0.5">
      <c r="A65" s="557"/>
      <c r="B65" s="558"/>
      <c r="C65" s="35" t="s">
        <v>352</v>
      </c>
      <c r="D65" s="91"/>
      <c r="E65" s="89"/>
      <c r="F65" s="89"/>
      <c r="G65" s="89"/>
      <c r="H65" s="89"/>
      <c r="I65" s="89"/>
      <c r="J65" s="89"/>
      <c r="K65" s="89"/>
      <c r="L65" s="89"/>
      <c r="M65" s="89"/>
      <c r="N65" s="89"/>
      <c r="O65" s="89"/>
    </row>
    <row r="66" spans="1:15" ht="15.75" x14ac:dyDescent="0.5">
      <c r="A66" s="557"/>
      <c r="B66" s="557" t="s">
        <v>148</v>
      </c>
      <c r="C66" s="31" t="s">
        <v>81</v>
      </c>
      <c r="D66" s="36"/>
      <c r="E66" s="82"/>
      <c r="F66" s="82"/>
      <c r="G66" s="82"/>
      <c r="H66" s="82"/>
      <c r="I66" s="82"/>
      <c r="J66" s="82"/>
      <c r="K66" s="82"/>
      <c r="L66" s="82"/>
      <c r="M66" s="82"/>
      <c r="N66" s="82"/>
      <c r="O66" s="82"/>
    </row>
    <row r="67" spans="1:15" ht="15.75" x14ac:dyDescent="0.5">
      <c r="A67" s="557"/>
      <c r="B67" s="557"/>
      <c r="C67" s="31" t="s">
        <v>43</v>
      </c>
      <c r="D67" s="31"/>
      <c r="E67" s="208"/>
      <c r="F67" s="208"/>
      <c r="G67" s="208"/>
      <c r="H67" s="208"/>
      <c r="I67" s="208"/>
      <c r="J67" s="208"/>
      <c r="K67" s="208"/>
      <c r="L67" s="208"/>
      <c r="M67" s="208"/>
      <c r="N67" s="208"/>
      <c r="O67" s="208"/>
    </row>
    <row r="68" spans="1:15" ht="15.75" x14ac:dyDescent="0.5">
      <c r="A68" s="557"/>
      <c r="B68" s="557"/>
      <c r="C68" s="34" t="s">
        <v>94</v>
      </c>
      <c r="D68" s="31"/>
      <c r="E68" s="88"/>
      <c r="F68" s="88"/>
      <c r="G68" s="88"/>
      <c r="H68" s="88"/>
      <c r="I68" s="88"/>
      <c r="J68" s="88"/>
      <c r="K68" s="88"/>
      <c r="L68" s="88"/>
      <c r="M68" s="88"/>
      <c r="N68" s="88"/>
      <c r="O68" s="88"/>
    </row>
    <row r="69" spans="1:15" ht="15.75" x14ac:dyDescent="0.5">
      <c r="A69" s="557"/>
      <c r="B69" s="557"/>
      <c r="C69" s="32" t="s">
        <v>158</v>
      </c>
      <c r="D69" s="37"/>
      <c r="E69" s="89"/>
      <c r="F69" s="89"/>
      <c r="G69" s="89"/>
      <c r="H69" s="89"/>
      <c r="I69" s="89"/>
      <c r="J69" s="89"/>
      <c r="K69" s="89"/>
      <c r="L69" s="89"/>
      <c r="M69" s="89"/>
      <c r="N69" s="89"/>
      <c r="O69" s="89"/>
    </row>
    <row r="70" spans="1:15" ht="15.75" x14ac:dyDescent="0.5">
      <c r="A70" s="557"/>
      <c r="B70" s="556" t="s">
        <v>44</v>
      </c>
      <c r="C70" s="33" t="s">
        <v>175</v>
      </c>
      <c r="D70" s="36"/>
      <c r="E70" s="82"/>
      <c r="F70" s="82"/>
      <c r="G70" s="82"/>
      <c r="H70" s="82"/>
      <c r="I70" s="82"/>
      <c r="J70" s="82"/>
      <c r="K70" s="82"/>
      <c r="L70" s="82"/>
      <c r="M70" s="82"/>
      <c r="N70" s="82"/>
      <c r="O70" s="82"/>
    </row>
    <row r="71" spans="1:15" ht="15.75" x14ac:dyDescent="0.5">
      <c r="A71" s="557"/>
      <c r="B71" s="557"/>
      <c r="C71" s="34" t="s">
        <v>155</v>
      </c>
      <c r="D71" s="31"/>
      <c r="E71" s="88"/>
      <c r="F71" s="88"/>
      <c r="G71" s="88"/>
      <c r="H71" s="88"/>
      <c r="I71" s="88"/>
      <c r="J71" s="88"/>
      <c r="K71" s="88"/>
      <c r="L71" s="88"/>
      <c r="M71" s="88"/>
      <c r="N71" s="88"/>
      <c r="O71" s="88"/>
    </row>
    <row r="72" spans="1:15" ht="15.75" x14ac:dyDescent="0.5">
      <c r="A72" s="557"/>
      <c r="B72" s="557"/>
      <c r="C72" s="34" t="s">
        <v>156</v>
      </c>
      <c r="D72" s="31"/>
      <c r="E72" s="88"/>
      <c r="F72" s="88"/>
      <c r="G72" s="88"/>
      <c r="H72" s="88"/>
      <c r="I72" s="88"/>
      <c r="J72" s="88"/>
      <c r="K72" s="88"/>
      <c r="L72" s="88"/>
      <c r="M72" s="88"/>
      <c r="N72" s="88"/>
      <c r="O72" s="88"/>
    </row>
    <row r="73" spans="1:15" ht="15.75" x14ac:dyDescent="0.5">
      <c r="A73" s="557"/>
      <c r="B73" s="557"/>
      <c r="C73" s="34" t="s">
        <v>187</v>
      </c>
      <c r="D73" s="31"/>
      <c r="E73" s="88"/>
      <c r="F73" s="88"/>
      <c r="G73" s="88"/>
      <c r="H73" s="88"/>
      <c r="I73" s="88"/>
      <c r="J73" s="88"/>
      <c r="K73" s="88"/>
      <c r="L73" s="88"/>
      <c r="M73" s="88"/>
      <c r="N73" s="88"/>
      <c r="O73" s="88"/>
    </row>
    <row r="74" spans="1:15" ht="15.75" x14ac:dyDescent="0.5">
      <c r="A74" s="557"/>
      <c r="B74" s="557"/>
      <c r="C74" s="34" t="s">
        <v>188</v>
      </c>
      <c r="D74" s="31"/>
      <c r="E74" s="88"/>
      <c r="F74" s="88"/>
      <c r="G74" s="88"/>
      <c r="H74" s="88"/>
      <c r="I74" s="88"/>
      <c r="J74" s="88"/>
      <c r="K74" s="88"/>
      <c r="L74" s="88"/>
      <c r="M74" s="88"/>
      <c r="N74" s="88"/>
      <c r="O74" s="88"/>
    </row>
    <row r="75" spans="1:15" ht="15.75" x14ac:dyDescent="0.5">
      <c r="A75" s="557"/>
      <c r="B75" s="557"/>
      <c r="C75" s="34" t="s">
        <v>331</v>
      </c>
      <c r="D75" s="31"/>
      <c r="E75" s="88"/>
      <c r="F75" s="88"/>
      <c r="G75" s="88"/>
      <c r="H75" s="88"/>
      <c r="I75" s="88"/>
      <c r="J75" s="88"/>
      <c r="K75" s="88"/>
      <c r="L75" s="88"/>
      <c r="M75" s="88"/>
      <c r="N75" s="88"/>
      <c r="O75" s="88"/>
    </row>
    <row r="76" spans="1:15" ht="15.75" x14ac:dyDescent="0.5">
      <c r="A76" s="557"/>
      <c r="B76" s="558"/>
      <c r="C76" s="35" t="s">
        <v>273</v>
      </c>
      <c r="D76" s="31"/>
      <c r="E76" s="88"/>
      <c r="F76" s="88"/>
      <c r="G76" s="88"/>
      <c r="H76" s="88"/>
      <c r="I76" s="88"/>
      <c r="J76" s="88"/>
      <c r="K76" s="88"/>
      <c r="L76" s="88"/>
      <c r="M76" s="88"/>
      <c r="N76" s="88"/>
      <c r="O76" s="88"/>
    </row>
    <row r="77" spans="1:15" ht="15.75" x14ac:dyDescent="0.5">
      <c r="A77" s="557"/>
      <c r="B77" s="556" t="s">
        <v>45</v>
      </c>
      <c r="C77" s="36" t="s">
        <v>356</v>
      </c>
      <c r="D77" s="36"/>
      <c r="E77" s="82"/>
      <c r="F77" s="82"/>
      <c r="G77" s="82"/>
      <c r="H77" s="82"/>
      <c r="I77" s="82"/>
      <c r="J77" s="82"/>
      <c r="K77" s="82"/>
      <c r="L77" s="82"/>
      <c r="M77" s="82"/>
      <c r="N77" s="82"/>
      <c r="O77" s="82"/>
    </row>
    <row r="78" spans="1:15" ht="15.75" x14ac:dyDescent="0.5">
      <c r="A78" s="557"/>
      <c r="B78" s="557"/>
      <c r="C78" s="31" t="s">
        <v>357</v>
      </c>
      <c r="D78" s="31"/>
      <c r="E78" s="88"/>
      <c r="F78" s="88"/>
      <c r="G78" s="88"/>
      <c r="H78" s="88"/>
      <c r="I78" s="88"/>
      <c r="J78" s="88"/>
      <c r="K78" s="88"/>
      <c r="L78" s="88"/>
      <c r="M78" s="88"/>
      <c r="N78" s="88"/>
      <c r="O78" s="88"/>
    </row>
    <row r="79" spans="1:15" ht="15.75" x14ac:dyDescent="0.5">
      <c r="A79" s="557"/>
      <c r="B79" s="558"/>
      <c r="C79" s="37" t="s">
        <v>310</v>
      </c>
      <c r="D79" s="31"/>
      <c r="E79" s="88"/>
      <c r="F79" s="88"/>
      <c r="G79" s="88"/>
      <c r="H79" s="88"/>
      <c r="I79" s="88"/>
      <c r="J79" s="88"/>
      <c r="K79" s="88"/>
      <c r="L79" s="88"/>
      <c r="M79" s="88"/>
      <c r="N79" s="88"/>
      <c r="O79" s="88"/>
    </row>
    <row r="80" spans="1:15" ht="15.75" x14ac:dyDescent="0.5">
      <c r="A80" s="559" t="s">
        <v>49</v>
      </c>
      <c r="B80" s="318" t="s">
        <v>85</v>
      </c>
      <c r="C80" s="209" t="s">
        <v>359</v>
      </c>
      <c r="D80" s="211"/>
      <c r="E80" s="23"/>
      <c r="F80" s="23"/>
      <c r="G80" s="23"/>
      <c r="H80" s="23"/>
      <c r="I80" s="23"/>
      <c r="J80" s="23"/>
      <c r="K80" s="23"/>
      <c r="L80" s="23"/>
      <c r="M80" s="23"/>
      <c r="N80" s="23"/>
      <c r="O80" s="23"/>
    </row>
    <row r="81" spans="1:15" ht="15.75" x14ac:dyDescent="0.5">
      <c r="A81" s="560"/>
      <c r="B81" s="210" t="s">
        <v>95</v>
      </c>
      <c r="C81" s="211" t="s">
        <v>396</v>
      </c>
      <c r="D81" s="209"/>
      <c r="E81" s="23"/>
      <c r="F81" s="23"/>
      <c r="G81" s="23"/>
      <c r="H81" s="23"/>
      <c r="I81" s="23"/>
      <c r="J81" s="23"/>
      <c r="K81" s="23"/>
      <c r="L81" s="23"/>
      <c r="M81" s="23"/>
      <c r="N81" s="23"/>
      <c r="O81" s="23"/>
    </row>
    <row r="82" spans="1:15" ht="15.75" x14ac:dyDescent="0.5">
      <c r="A82" s="560"/>
      <c r="B82" s="210" t="s">
        <v>86</v>
      </c>
      <c r="C82" s="212" t="s">
        <v>145</v>
      </c>
      <c r="D82" s="213"/>
      <c r="E82" s="88"/>
      <c r="F82" s="88"/>
      <c r="G82" s="88"/>
      <c r="H82" s="88"/>
      <c r="I82" s="88"/>
      <c r="J82" s="88"/>
      <c r="K82" s="88"/>
      <c r="L82" s="88"/>
      <c r="M82" s="88"/>
      <c r="N82" s="88"/>
      <c r="O82" s="88"/>
    </row>
    <row r="83" spans="1:15" ht="15.75" x14ac:dyDescent="0.5">
      <c r="A83" s="560"/>
      <c r="B83" s="319" t="s">
        <v>87</v>
      </c>
      <c r="C83" s="346" t="s">
        <v>146</v>
      </c>
      <c r="D83" s="347"/>
      <c r="E83" s="82"/>
      <c r="F83" s="82"/>
      <c r="G83" s="82"/>
      <c r="H83" s="82"/>
      <c r="I83" s="82"/>
      <c r="J83" s="82"/>
      <c r="K83" s="82"/>
      <c r="L83" s="82"/>
      <c r="M83" s="82"/>
      <c r="N83" s="82"/>
      <c r="O83" s="82"/>
    </row>
    <row r="84" spans="1:15" ht="15.75" x14ac:dyDescent="0.5">
      <c r="A84" s="560"/>
      <c r="B84" s="568" t="s">
        <v>397</v>
      </c>
      <c r="C84" s="346" t="s">
        <v>409</v>
      </c>
      <c r="D84" s="350"/>
      <c r="E84" s="351"/>
      <c r="F84" s="351"/>
      <c r="G84" s="351"/>
      <c r="H84" s="351"/>
      <c r="I84" s="351"/>
      <c r="J84" s="351"/>
      <c r="K84" s="351"/>
      <c r="L84" s="351"/>
      <c r="M84" s="351"/>
      <c r="N84" s="351"/>
      <c r="O84" s="351"/>
    </row>
    <row r="85" spans="1:15" ht="15.75" x14ac:dyDescent="0.5">
      <c r="A85" s="569"/>
      <c r="B85" s="512"/>
      <c r="C85" s="344" t="s">
        <v>399</v>
      </c>
      <c r="D85" s="345"/>
      <c r="E85" s="118"/>
      <c r="F85" s="118"/>
      <c r="G85" s="118"/>
      <c r="H85" s="118"/>
      <c r="I85" s="118"/>
      <c r="J85" s="118"/>
      <c r="K85" s="118"/>
      <c r="L85" s="118"/>
      <c r="M85" s="118"/>
      <c r="N85" s="118"/>
      <c r="O85" s="118"/>
    </row>
    <row r="86" spans="1:15" ht="15.75" x14ac:dyDescent="0.5">
      <c r="A86" s="570" t="s">
        <v>50</v>
      </c>
      <c r="B86" s="301" t="s">
        <v>157</v>
      </c>
      <c r="C86" s="228" t="s">
        <v>114</v>
      </c>
      <c r="D86" s="38"/>
      <c r="E86" s="355"/>
      <c r="F86" s="355"/>
      <c r="G86" s="355"/>
      <c r="H86" s="355"/>
      <c r="I86" s="355"/>
      <c r="J86" s="355"/>
      <c r="K86" s="355"/>
      <c r="L86" s="355"/>
      <c r="M86" s="355"/>
      <c r="N86" s="355"/>
      <c r="O86" s="355"/>
    </row>
    <row r="87" spans="1:15" ht="15.75" x14ac:dyDescent="0.5">
      <c r="A87" s="571"/>
      <c r="B87" s="300" t="s">
        <v>75</v>
      </c>
      <c r="C87" s="38" t="s">
        <v>390</v>
      </c>
      <c r="D87" s="38"/>
      <c r="E87" s="355"/>
      <c r="F87" s="355"/>
      <c r="G87" s="355"/>
      <c r="H87" s="355"/>
      <c r="I87" s="355"/>
      <c r="J87" s="355"/>
      <c r="K87" s="355"/>
      <c r="L87" s="355"/>
      <c r="M87" s="355"/>
      <c r="N87" s="355"/>
      <c r="O87" s="355"/>
    </row>
    <row r="89" spans="1:15" ht="31.5" x14ac:dyDescent="0.5">
      <c r="A89" s="316" t="s">
        <v>1</v>
      </c>
      <c r="B89" s="316" t="s">
        <v>2</v>
      </c>
      <c r="C89" s="566" t="s">
        <v>149</v>
      </c>
      <c r="D89" s="567"/>
      <c r="E89" s="550" t="s">
        <v>206</v>
      </c>
      <c r="F89" s="551"/>
      <c r="G89" s="551"/>
      <c r="H89" s="551"/>
      <c r="I89" s="551"/>
      <c r="J89" s="551"/>
      <c r="K89" s="551"/>
      <c r="L89" s="551"/>
      <c r="M89" s="551"/>
      <c r="N89" s="551"/>
      <c r="O89" s="552"/>
    </row>
    <row r="90" spans="1:15" ht="15.75" x14ac:dyDescent="0.5">
      <c r="A90" s="539" t="s">
        <v>53</v>
      </c>
      <c r="B90" s="541" t="s">
        <v>122</v>
      </c>
      <c r="C90" s="85" t="s">
        <v>152</v>
      </c>
      <c r="D90" s="84"/>
      <c r="E90" s="162" t="str">
        <f>IF(E59="","",IF(E59&gt;78,0,IF(E59&lt;55,1,ROUND('Reference Curves'!$C$14*E59+'Reference Curves'!$C$15,2))))</f>
        <v/>
      </c>
      <c r="F90" s="162" t="str">
        <f>IF(F59="","",IF(F59&gt;78,0,IF(F59&lt;55,1,ROUND('Reference Curves'!$C$14*F59+'Reference Curves'!$C$15,2))))</f>
        <v/>
      </c>
      <c r="G90" s="162" t="str">
        <f>IF(G59="","",IF(G59&gt;78,0,IF(G59&lt;55,1,ROUND('Reference Curves'!$C$14*G59+'Reference Curves'!$C$15,2))))</f>
        <v/>
      </c>
      <c r="H90" s="162" t="str">
        <f>IF(H59="","",IF(H59&gt;78,0,IF(H59&lt;55,1,ROUND('Reference Curves'!$C$14*H59+'Reference Curves'!$C$15,2))))</f>
        <v/>
      </c>
      <c r="I90" s="162" t="str">
        <f>IF(I59="","",IF(I59&gt;78,0,IF(I59&lt;55,1,ROUND('Reference Curves'!$C$14*I59+'Reference Curves'!$C$15,2))))</f>
        <v/>
      </c>
      <c r="J90" s="162" t="str">
        <f>IF(J59="","",IF(J59&gt;78,0,IF(J59&lt;55,1,ROUND('Reference Curves'!$C$14*J59+'Reference Curves'!$C$15,2))))</f>
        <v/>
      </c>
      <c r="K90" s="162" t="str">
        <f>IF(K59="","",IF(K59&gt;78,0,IF(K59&lt;55,1,ROUND('Reference Curves'!$C$14*K59+'Reference Curves'!$C$15,2))))</f>
        <v/>
      </c>
      <c r="L90" s="162" t="str">
        <f>IF(L59="","",IF(L59&gt;78,0,IF(L59&lt;55,1,ROUND('Reference Curves'!$C$14*L59+'Reference Curves'!$C$15,2))))</f>
        <v/>
      </c>
      <c r="M90" s="162" t="str">
        <f>IF(M59="","",IF(M59&gt;78,0,IF(M59&lt;55,1,ROUND('Reference Curves'!$C$14*M59+'Reference Curves'!$C$15,2))))</f>
        <v/>
      </c>
      <c r="N90" s="162" t="str">
        <f>IF(N59="","",IF(N59&gt;78,0,IF(N59&lt;55,1,ROUND('Reference Curves'!$C$14*N59+'Reference Curves'!$C$15,2))))</f>
        <v/>
      </c>
      <c r="O90" s="162" t="str">
        <f>IF(O59="","",IF(O59&gt;78,0,IF(O59&lt;55,1,ROUND('Reference Curves'!$C$14*O59+'Reference Curves'!$C$15,2))))</f>
        <v/>
      </c>
    </row>
    <row r="91" spans="1:15" ht="15.75" x14ac:dyDescent="0.5">
      <c r="A91" s="540"/>
      <c r="B91" s="542"/>
      <c r="C91" s="86" t="s">
        <v>153</v>
      </c>
      <c r="D91" s="28"/>
      <c r="E91" s="163" t="str">
        <f>IF(E60="","",IF(E60&gt;3.33,0,IF(E60=0,1,ROUND('Reference Curves'!$C$48*E60+'Reference Curves'!$C$49,2))))</f>
        <v/>
      </c>
      <c r="F91" s="163" t="str">
        <f>IF(F60="","",IF(F60&gt;3.33,0,IF(F60=0,1,ROUND('Reference Curves'!$C$48*F60+'Reference Curves'!$C$49,2))))</f>
        <v/>
      </c>
      <c r="G91" s="163" t="str">
        <f>IF(G60="","",IF(G60&gt;3.33,0,IF(G60=0,1,ROUND('Reference Curves'!$C$48*G60+'Reference Curves'!$C$49,2))))</f>
        <v/>
      </c>
      <c r="H91" s="163" t="str">
        <f>IF(H60="","",IF(H60&gt;3.33,0,IF(H60=0,1,ROUND('Reference Curves'!$C$48*H60+'Reference Curves'!$C$49,2))))</f>
        <v/>
      </c>
      <c r="I91" s="163" t="str">
        <f>IF(I60="","",IF(I60&gt;3.33,0,IF(I60=0,1,ROUND('Reference Curves'!$C$48*I60+'Reference Curves'!$C$49,2))))</f>
        <v/>
      </c>
      <c r="J91" s="163" t="str">
        <f>IF(J60="","",IF(J60&gt;3.33,0,IF(J60=0,1,ROUND('Reference Curves'!$C$48*J60+'Reference Curves'!$C$49,2))))</f>
        <v/>
      </c>
      <c r="K91" s="163" t="str">
        <f>IF(K60="","",IF(K60&gt;3.33,0,IF(K60=0,1,ROUND('Reference Curves'!$C$48*K60+'Reference Curves'!$C$49,2))))</f>
        <v/>
      </c>
      <c r="L91" s="163" t="str">
        <f>IF(L60="","",IF(L60&gt;3.33,0,IF(L60=0,1,ROUND('Reference Curves'!$C$48*L60+'Reference Curves'!$C$49,2))))</f>
        <v/>
      </c>
      <c r="M91" s="163" t="str">
        <f>IF(M60="","",IF(M60&gt;3.33,0,IF(M60=0,1,ROUND('Reference Curves'!$C$48*M60+'Reference Curves'!$C$49,2))))</f>
        <v/>
      </c>
      <c r="N91" s="163" t="str">
        <f>IF(N60="","",IF(N60&gt;3.33,0,IF(N60=0,1,ROUND('Reference Curves'!$C$48*N60+'Reference Curves'!$C$49,2))))</f>
        <v/>
      </c>
      <c r="O91" s="163" t="str">
        <f>IF(O60="","",IF(O60&gt;3.33,0,IF(O60=0,1,ROUND('Reference Curves'!$C$48*O60+'Reference Curves'!$C$49,2))))</f>
        <v/>
      </c>
    </row>
    <row r="92" spans="1:15" ht="15.75" x14ac:dyDescent="0.5">
      <c r="A92" s="524" t="s">
        <v>3</v>
      </c>
      <c r="B92" s="525" t="s">
        <v>4</v>
      </c>
      <c r="C92" s="29" t="s">
        <v>354</v>
      </c>
      <c r="D92" s="29"/>
      <c r="E92" s="164" t="str">
        <f>IF(E61="","",ROUND(IF(OR(E61&gt;1.71,E61&lt;0.34),0,IF(E61&lt;=1,1,E61*'Reference Curves'!$L$14+'Reference Curves'!$L$15)),2))</f>
        <v/>
      </c>
      <c r="F92" s="164" t="str">
        <f>IF(F61="","",ROUND(IF(OR(F61&gt;1.71,F61&lt;0.34),0,IF(F61&lt;=1,1,F61*'Reference Curves'!$L$14+'Reference Curves'!$L$15)),2))</f>
        <v/>
      </c>
      <c r="G92" s="164" t="str">
        <f>IF(G61="","",ROUND(IF(OR(G61&gt;1.71,G61&lt;0.34),0,IF(G61&lt;=1,1,G61*'Reference Curves'!$L$14+'Reference Curves'!$L$15)),2))</f>
        <v/>
      </c>
      <c r="H92" s="164" t="str">
        <f>IF(H61="","",ROUND(IF(OR(H61&gt;1.71,H61&lt;0.34),0,IF(H61&lt;=1,1,H61*'Reference Curves'!$L$14+'Reference Curves'!$L$15)),2))</f>
        <v/>
      </c>
      <c r="I92" s="164" t="str">
        <f>IF(I61="","",ROUND(IF(OR(I61&gt;1.71,I61&lt;0.34),0,IF(I61&lt;=1,1,I61*'Reference Curves'!$L$14+'Reference Curves'!$L$15)),2))</f>
        <v/>
      </c>
      <c r="J92" s="164" t="str">
        <f>IF(J61="","",ROUND(IF(OR(J61&gt;1.71,J61&lt;0.34),0,IF(J61&lt;=1,1,J61*'Reference Curves'!$L$14+'Reference Curves'!$L$15)),2))</f>
        <v/>
      </c>
      <c r="K92" s="164" t="str">
        <f>IF(K61="","",ROUND(IF(OR(K61&gt;1.71,K61&lt;0.34),0,IF(K61&lt;=1,1,K61*'Reference Curves'!$L$14+'Reference Curves'!$L$15)),2))</f>
        <v/>
      </c>
      <c r="L92" s="164" t="str">
        <f>IF(L61="","",ROUND(IF(OR(L61&gt;1.71,L61&lt;0.34),0,IF(L61&lt;=1,1,L61*'Reference Curves'!$L$14+'Reference Curves'!$L$15)),2))</f>
        <v/>
      </c>
      <c r="M92" s="164" t="str">
        <f>IF(M61="","",ROUND(IF(OR(M61&gt;1.71,M61&lt;0.34),0,IF(M61&lt;=1,1,M61*'Reference Curves'!$L$14+'Reference Curves'!$L$15)),2))</f>
        <v/>
      </c>
      <c r="N92" s="164" t="str">
        <f>IF(N61="","",ROUND(IF(OR(N61&gt;1.71,N61&lt;0.34),0,IF(N61&lt;=1,1,N61*'Reference Curves'!$L$14+'Reference Curves'!$L$15)),2))</f>
        <v/>
      </c>
      <c r="O92" s="164" t="str">
        <f>IF(O61="","",ROUND(IF(OR(O61&gt;1.71,O61&lt;0.34),0,IF(O61&lt;=1,1,O61*'Reference Curves'!$L$14+'Reference Curves'!$L$15)),2))</f>
        <v/>
      </c>
    </row>
    <row r="93" spans="1:15" ht="15.75" x14ac:dyDescent="0.5">
      <c r="A93" s="525"/>
      <c r="B93" s="526"/>
      <c r="C93" s="30" t="s">
        <v>355</v>
      </c>
      <c r="D93" s="30"/>
      <c r="E93" s="165" t="str">
        <f>IF(E62="","",
IF(LEFT($C$12,1)="C",
ROUND(IF(E62&gt;=7.3,1,
IF(E62&lt;=1,0,
IF(E62&lt;=2.2, E62*'Reference Curves'!$L$49+'Reference Curves'!$L$50, E62*'Reference Curves'!$M$49+'Reference Curves'!$M$50))),2),
IF(LEFT($C$12,1)="B",
ROUND(IF(E62&gt;=2,1,
IF(E62&lt;=1,0,
IF(E62&lt;=1.4,E62*'Reference Curves'!$L$117+'Reference Curves'!$L$118,E62*'Reference Curves'!$M$117+'Reference Curves'!$M$118))),2),               IF(OR(LEFT($C$12,1)="E"), ROUND(IF(E62&gt;=10,1,
IF(E62&lt;=1,0,
IF(E62&lt;=2.2,E62*'Reference Curves'!$L$82+'Reference Curves'!$L$83,
E62*'Reference Curves'!$M$82+'Reference Curves'!$M$83))),2)))))</f>
        <v/>
      </c>
      <c r="F93" s="165" t="str">
        <f>IF(F62="","",
IF(LEFT($C$12,1)="C",
ROUND(IF(F62&gt;=7.3,1,
IF(F62&lt;=1,0,
IF(F62&lt;=2.2, F62*'Reference Curves'!$L$49+'Reference Curves'!$L$50, F62*'Reference Curves'!$M$49+'Reference Curves'!$M$50))),2),
IF(LEFT($C$12,1)="B",
ROUND(IF(F62&gt;=2,1,
IF(F62&lt;=1,0,
IF(F62&lt;=1.4,F62*'Reference Curves'!$L$117+'Reference Curves'!$L$118,F62*'Reference Curves'!$M$117+'Reference Curves'!$M$118))),2),               IF(OR(LEFT($C$12,1)="E"), ROUND(IF(F62&gt;=10,1,
IF(F62&lt;=1,0,
IF(F62&lt;=2.2,F62*'Reference Curves'!$L$82+'Reference Curves'!$L$83,
F62*'Reference Curves'!$M$82+'Reference Curves'!$M$83))),2)))))</f>
        <v/>
      </c>
      <c r="G93" s="165" t="str">
        <f>IF(G62="","",
IF(LEFT($C$12,1)="C",
ROUND(IF(G62&gt;=7.3,1,
IF(G62&lt;=1,0,
IF(G62&lt;=2.2, G62*'Reference Curves'!$L$49+'Reference Curves'!$L$50, G62*'Reference Curves'!$M$49+'Reference Curves'!$M$50))),2),
IF(LEFT($C$12,1)="B",
ROUND(IF(G62&gt;=2,1,
IF(G62&lt;=1,0,
IF(G62&lt;=1.4,G62*'Reference Curves'!$L$117+'Reference Curves'!$L$118,G62*'Reference Curves'!$M$117+'Reference Curves'!$M$118))),2),               IF(OR(LEFT($C$12,1)="E"), ROUND(IF(G62&gt;=10,1,
IF(G62&lt;=1,0,
IF(G62&lt;=2.2,G62*'Reference Curves'!$L$82+'Reference Curves'!$L$83,
G62*'Reference Curves'!$M$82+'Reference Curves'!$M$83))),2)))))</f>
        <v/>
      </c>
      <c r="H93" s="165" t="str">
        <f>IF(H62="","",
IF(LEFT($C$12,1)="C",
ROUND(IF(H62&gt;=7.3,1,
IF(H62&lt;=1,0,
IF(H62&lt;=2.2, H62*'Reference Curves'!$L$49+'Reference Curves'!$L$50, H62*'Reference Curves'!$M$49+'Reference Curves'!$M$50))),2),
IF(LEFT($C$12,1)="B",
ROUND(IF(H62&gt;=2,1,
IF(H62&lt;=1,0,
IF(H62&lt;=1.4,H62*'Reference Curves'!$L$117+'Reference Curves'!$L$118,H62*'Reference Curves'!$M$117+'Reference Curves'!$M$118))),2),               IF(OR(LEFT($C$12,1)="E"), ROUND(IF(H62&gt;=10,1,
IF(H62&lt;=1,0,
IF(H62&lt;=2.2,H62*'Reference Curves'!$L$82+'Reference Curves'!$L$83,
H62*'Reference Curves'!$M$82+'Reference Curves'!$M$83))),2)))))</f>
        <v/>
      </c>
      <c r="I93" s="165" t="str">
        <f>IF(I62="","",
IF(LEFT($C$12,1)="C",
ROUND(IF(I62&gt;=7.3,1,
IF(I62&lt;=1,0,
IF(I62&lt;=2.2, I62*'Reference Curves'!$L$49+'Reference Curves'!$L$50, I62*'Reference Curves'!$M$49+'Reference Curves'!$M$50))),2),
IF(LEFT($C$12,1)="B",
ROUND(IF(I62&gt;=2,1,
IF(I62&lt;=1,0,
IF(I62&lt;=1.4,I62*'Reference Curves'!$L$117+'Reference Curves'!$L$118,I62*'Reference Curves'!$M$117+'Reference Curves'!$M$118))),2),               IF(OR(LEFT($C$12,1)="E"), ROUND(IF(I62&gt;=10,1,
IF(I62&lt;=1,0,
IF(I62&lt;=2.2,I62*'Reference Curves'!$L$82+'Reference Curves'!$L$83,
I62*'Reference Curves'!$M$82+'Reference Curves'!$M$83))),2)))))</f>
        <v/>
      </c>
      <c r="J93" s="165" t="str">
        <f>IF(J62="","",
IF(LEFT($C$12,1)="C",
ROUND(IF(J62&gt;=7.3,1,
IF(J62&lt;=1,0,
IF(J62&lt;=2.2, J62*'Reference Curves'!$L$49+'Reference Curves'!$L$50, J62*'Reference Curves'!$M$49+'Reference Curves'!$M$50))),2),
IF(LEFT($C$12,1)="B",
ROUND(IF(J62&gt;=2,1,
IF(J62&lt;=1,0,
IF(J62&lt;=1.4,J62*'Reference Curves'!$L$117+'Reference Curves'!$L$118,J62*'Reference Curves'!$M$117+'Reference Curves'!$M$118))),2),               IF(OR(LEFT($C$12,1)="E"), ROUND(IF(J62&gt;=10,1,
IF(J62&lt;=1,0,
IF(J62&lt;=2.2,J62*'Reference Curves'!$L$82+'Reference Curves'!$L$83,
J62*'Reference Curves'!$M$82+'Reference Curves'!$M$83))),2)))))</f>
        <v/>
      </c>
      <c r="K93" s="165" t="str">
        <f>IF(K62="","",
IF(LEFT($C$12,1)="C",
ROUND(IF(K62&gt;=7.3,1,
IF(K62&lt;=1,0,
IF(K62&lt;=2.2, K62*'Reference Curves'!$L$49+'Reference Curves'!$L$50, K62*'Reference Curves'!$M$49+'Reference Curves'!$M$50))),2),
IF(LEFT($C$12,1)="B",
ROUND(IF(K62&gt;=2,1,
IF(K62&lt;=1,0,
IF(K62&lt;=1.4,K62*'Reference Curves'!$L$117+'Reference Curves'!$L$118,K62*'Reference Curves'!$M$117+'Reference Curves'!$M$118))),2),               IF(OR(LEFT($C$12,1)="E"), ROUND(IF(K62&gt;=10,1,
IF(K62&lt;=1,0,
IF(K62&lt;=2.2,K62*'Reference Curves'!$L$82+'Reference Curves'!$L$83,
K62*'Reference Curves'!$M$82+'Reference Curves'!$M$83))),2)))))</f>
        <v/>
      </c>
      <c r="L93" s="165" t="str">
        <f>IF(L62="","",
IF(LEFT($C$12,1)="C",
ROUND(IF(L62&gt;=7.3,1,
IF(L62&lt;=1,0,
IF(L62&lt;=2.2, L62*'Reference Curves'!$L$49+'Reference Curves'!$L$50, L62*'Reference Curves'!$M$49+'Reference Curves'!$M$50))),2),
IF(LEFT($C$12,1)="B",
ROUND(IF(L62&gt;=2,1,
IF(L62&lt;=1,0,
IF(L62&lt;=1.4,L62*'Reference Curves'!$L$117+'Reference Curves'!$L$118,L62*'Reference Curves'!$M$117+'Reference Curves'!$M$118))),2),               IF(OR(LEFT($C$12,1)="E"), ROUND(IF(L62&gt;=10,1,
IF(L62&lt;=1,0,
IF(L62&lt;=2.2,L62*'Reference Curves'!$L$82+'Reference Curves'!$L$83,
L62*'Reference Curves'!$M$82+'Reference Curves'!$M$83))),2)))))</f>
        <v/>
      </c>
      <c r="M93" s="165" t="str">
        <f>IF(M62="","",
IF(LEFT($C$12,1)="C",
ROUND(IF(M62&gt;=7.3,1,
IF(M62&lt;=1,0,
IF(M62&lt;=2.2, M62*'Reference Curves'!$L$49+'Reference Curves'!$L$50, M62*'Reference Curves'!$M$49+'Reference Curves'!$M$50))),2),
IF(LEFT($C$12,1)="B",
ROUND(IF(M62&gt;=2,1,
IF(M62&lt;=1,0,
IF(M62&lt;=1.4,M62*'Reference Curves'!$L$117+'Reference Curves'!$L$118,M62*'Reference Curves'!$M$117+'Reference Curves'!$M$118))),2),               IF(OR(LEFT($C$12,1)="E"), ROUND(IF(M62&gt;=10,1,
IF(M62&lt;=1,0,
IF(M62&lt;=2.2,M62*'Reference Curves'!$L$82+'Reference Curves'!$L$83,
M62*'Reference Curves'!$M$82+'Reference Curves'!$M$83))),2)))))</f>
        <v/>
      </c>
      <c r="N93" s="165" t="str">
        <f>IF(N62="","",
IF(LEFT($C$12,1)="C",
ROUND(IF(N62&gt;=7.3,1,
IF(N62&lt;=1,0,
IF(N62&lt;=2.2, N62*'Reference Curves'!$L$49+'Reference Curves'!$L$50, N62*'Reference Curves'!$M$49+'Reference Curves'!$M$50))),2),
IF(LEFT($C$12,1)="B",
ROUND(IF(N62&gt;=2,1,
IF(N62&lt;=1,0,
IF(N62&lt;=1.4,N62*'Reference Curves'!$L$117+'Reference Curves'!$L$118,N62*'Reference Curves'!$M$117+'Reference Curves'!$M$118))),2),               IF(OR(LEFT($C$12,1)="E"), ROUND(IF(N62&gt;=10,1,
IF(N62&lt;=1,0,
IF(N62&lt;=2.2,N62*'Reference Curves'!$L$82+'Reference Curves'!$L$83,
N62*'Reference Curves'!$M$82+'Reference Curves'!$M$83))),2)))))</f>
        <v/>
      </c>
      <c r="O93" s="165" t="str">
        <f>IF(O62="","",
IF(LEFT($C$12,1)="C",
ROUND(IF(O62&gt;=7.3,1,
IF(O62&lt;=1,0,
IF(O62&lt;=2.2, O62*'Reference Curves'!$L$49+'Reference Curves'!$L$50, O62*'Reference Curves'!$M$49+'Reference Curves'!$M$50))),2),
IF(LEFT($C$12,1)="B",
ROUND(IF(O62&gt;=2,1,
IF(O62&lt;=1,0,
IF(O62&lt;=1.4,O62*'Reference Curves'!$L$117+'Reference Curves'!$L$118,O62*'Reference Curves'!$M$117+'Reference Curves'!$M$118))),2),               IF(OR(LEFT($C$12,1)="E"), ROUND(IF(O62&gt;=10,1,
IF(O62&lt;=1,0,
IF(O62&lt;=2.2,O62*'Reference Curves'!$L$82+'Reference Curves'!$L$83,
O62*'Reference Curves'!$M$82+'Reference Curves'!$M$83))),2)))))</f>
        <v/>
      </c>
    </row>
    <row r="94" spans="1:15" ht="15.75" x14ac:dyDescent="0.5">
      <c r="A94" s="526"/>
      <c r="B94" s="317" t="s">
        <v>162</v>
      </c>
      <c r="C94" s="29" t="s">
        <v>309</v>
      </c>
      <c r="D94" s="29"/>
      <c r="E94" s="164" t="str">
        <f>IF(E63="","",(IF(E63&gt;=1.8,0,  IF(E63=1,1,     ROUND(IF(E63&gt;1,E63*'Reference Curves'!$M$151+'Reference Curves'!$M$152, IF(E61&gt;1.2, IF(E63&lt;=0.2,0,E63*'Reference Curves'!$L$151+'Reference Curves'!$L$152),1)),2)))))</f>
        <v/>
      </c>
      <c r="F94" s="164" t="str">
        <f>IF(F63="","",(IF(F63&gt;=1.8,0,  IF(F63=1,1,     ROUND(IF(F63&gt;1,F63*'Reference Curves'!$M$151+'Reference Curves'!$M$152, IF(F61&gt;1.2, IF(F63&lt;=0.2,0,F63*'Reference Curves'!$L$151+'Reference Curves'!$L$152),1)),2)))))</f>
        <v/>
      </c>
      <c r="G94" s="164" t="str">
        <f>IF(G63="","",(IF(G63&gt;=1.8,0,  IF(G63=1,1,     ROUND(IF(G63&gt;1,G63*'Reference Curves'!$M$151+'Reference Curves'!$M$152, IF(G61&gt;1.2, IF(G63&lt;=0.2,0,G63*'Reference Curves'!$L$151+'Reference Curves'!$L$152),1)),2)))))</f>
        <v/>
      </c>
      <c r="H94" s="164" t="str">
        <f>IF(H63="","",(IF(H63&gt;=1.8,0,  IF(H63=1,1,     ROUND(IF(H63&gt;1,H63*'Reference Curves'!$M$151+'Reference Curves'!$M$152, IF(H61&gt;1.2, IF(H63&lt;=0.2,0,H63*'Reference Curves'!$L$151+'Reference Curves'!$L$152),1)),2)))))</f>
        <v/>
      </c>
      <c r="I94" s="164" t="str">
        <f>IF(I63="","",(IF(I63&gt;=1.8,0,  IF(I63=1,1,     ROUND(IF(I63&gt;1,I63*'Reference Curves'!$M$151+'Reference Curves'!$M$152, IF(I61&gt;1.2, IF(I63&lt;=0.2,0,I63*'Reference Curves'!$L$151+'Reference Curves'!$L$152),1)),2)))))</f>
        <v/>
      </c>
      <c r="J94" s="164" t="str">
        <f>IF(J63="","",(IF(J63&gt;=1.8,0,  IF(J63=1,1,     ROUND(IF(J63&gt;1,J63*'Reference Curves'!$M$151+'Reference Curves'!$M$152, IF(J61&gt;1.2, IF(J63&lt;=0.2,0,J63*'Reference Curves'!$L$151+'Reference Curves'!$L$152),1)),2)))))</f>
        <v/>
      </c>
      <c r="K94" s="164" t="str">
        <f>IF(K63="","",(IF(K63&gt;=1.8,0,  IF(K63=1,1,     ROUND(IF(K63&gt;1,K63*'Reference Curves'!$M$151+'Reference Curves'!$M$152, IF(K61&gt;1.2, IF(K63&lt;=0.2,0,K63*'Reference Curves'!$L$151+'Reference Curves'!$L$152),1)),2)))))</f>
        <v/>
      </c>
      <c r="L94" s="164" t="str">
        <f>IF(L63="","",(IF(L63&gt;=1.8,0,  IF(L63=1,1,     ROUND(IF(L63&gt;1,L63*'Reference Curves'!$M$151+'Reference Curves'!$M$152, IF(L61&gt;1.2, IF(L63&lt;=0.2,0,L63*'Reference Curves'!$L$151+'Reference Curves'!$L$152),1)),2)))))</f>
        <v/>
      </c>
      <c r="M94" s="164" t="str">
        <f>IF(M63="","",(IF(M63&gt;=1.8,0,  IF(M63=1,1,     ROUND(IF(M63&gt;1,M63*'Reference Curves'!$M$151+'Reference Curves'!$M$152, IF(M61&gt;1.2, IF(M63&lt;=0.2,0,M63*'Reference Curves'!$L$151+'Reference Curves'!$L$152),1)),2)))))</f>
        <v/>
      </c>
      <c r="N94" s="164" t="str">
        <f>IF(N63="","",(IF(N63&gt;=1.8,0,  IF(N63=1,1,     ROUND(IF(N63&gt;1,N63*'Reference Curves'!$M$151+'Reference Curves'!$M$152, IF(N61&gt;1.2, IF(N63&lt;=0.2,0,N63*'Reference Curves'!$L$151+'Reference Curves'!$L$152),1)),2)))))</f>
        <v/>
      </c>
      <c r="O94" s="164" t="str">
        <f>IF(O63="","",(IF(O63&gt;=1.8,0,  IF(O63=1,1,     ROUND(IF(O63&gt;1,O63*'Reference Curves'!$M$151+'Reference Curves'!$M$152, IF(O61&gt;1.2, IF(O63&lt;=0.2,0,O63*'Reference Curves'!$L$151+'Reference Curves'!$L$152),1)),2)))))</f>
        <v/>
      </c>
    </row>
    <row r="95" spans="1:15" ht="15.75" x14ac:dyDescent="0.5">
      <c r="A95" s="556" t="s">
        <v>19</v>
      </c>
      <c r="B95" s="556" t="s">
        <v>20</v>
      </c>
      <c r="C95" s="33" t="s">
        <v>16</v>
      </c>
      <c r="D95" s="36"/>
      <c r="E95" s="162" t="str">
        <f>IF(E64="","",ROUND(IF(E64&gt;=731,1,IF(E64&lt;355,'Reference Curves'!$U$15*E64+'Reference Curves'!$U$16,'Reference Curves'!$V$15*E64+'Reference Curves'!$V$16)),2))</f>
        <v/>
      </c>
      <c r="F95" s="162" t="str">
        <f>IF(F64="","",ROUND(IF(F64&gt;=731,1,IF(F64&lt;355,'Reference Curves'!$U$15*F64+'Reference Curves'!$U$16,'Reference Curves'!$V$15*F64+'Reference Curves'!$V$16)),2))</f>
        <v/>
      </c>
      <c r="G95" s="162" t="str">
        <f>IF(G64="","",ROUND(IF(G64&gt;=731,1,IF(G64&lt;355,'Reference Curves'!$U$15*G64+'Reference Curves'!$U$16,'Reference Curves'!$V$15*G64+'Reference Curves'!$V$16)),2))</f>
        <v/>
      </c>
      <c r="H95" s="162" t="str">
        <f>IF(H64="","",ROUND(IF(H64&gt;=731,1,IF(H64&lt;355,'Reference Curves'!$U$15*H64+'Reference Curves'!$U$16,'Reference Curves'!$V$15*H64+'Reference Curves'!$V$16)),2))</f>
        <v/>
      </c>
      <c r="I95" s="162" t="str">
        <f>IF(I64="","",ROUND(IF(I64&gt;=731,1,IF(I64&lt;355,'Reference Curves'!$U$15*I64+'Reference Curves'!$U$16,'Reference Curves'!$V$15*I64+'Reference Curves'!$V$16)),2))</f>
        <v/>
      </c>
      <c r="J95" s="162" t="str">
        <f>IF(J64="","",ROUND(IF(J64&gt;=731,1,IF(J64&lt;355,'Reference Curves'!$U$15*J64+'Reference Curves'!$U$16,'Reference Curves'!$V$15*J64+'Reference Curves'!$V$16)),2))</f>
        <v/>
      </c>
      <c r="K95" s="162" t="str">
        <f>IF(K64="","",ROUND(IF(K64&gt;=731,1,IF(K64&lt;355,'Reference Curves'!$U$15*K64+'Reference Curves'!$U$16,'Reference Curves'!$V$15*K64+'Reference Curves'!$V$16)),2))</f>
        <v/>
      </c>
      <c r="L95" s="162" t="str">
        <f>IF(L64="","",ROUND(IF(L64&gt;=731,1,IF(L64&lt;355,'Reference Curves'!$U$15*L64+'Reference Curves'!$U$16,'Reference Curves'!$V$15*L64+'Reference Curves'!$V$16)),2))</f>
        <v/>
      </c>
      <c r="M95" s="162" t="str">
        <f>IF(M64="","",ROUND(IF(M64&gt;=731,1,IF(M64&lt;355,'Reference Curves'!$U$15*M64+'Reference Curves'!$U$16,'Reference Curves'!$V$15*M64+'Reference Curves'!$V$16)),2))</f>
        <v/>
      </c>
      <c r="N95" s="162" t="str">
        <f>IF(N64="","",ROUND(IF(N64&gt;=731,1,IF(N64&lt;355,'Reference Curves'!$U$15*N64+'Reference Curves'!$U$16,'Reference Curves'!$V$15*N64+'Reference Curves'!$V$16)),2))</f>
        <v/>
      </c>
      <c r="O95" s="162" t="str">
        <f>IF(O64="","",ROUND(IF(O64&gt;=731,1,IF(O64&lt;355,'Reference Curves'!$U$15*O64+'Reference Curves'!$U$16,'Reference Curves'!$V$15*O64+'Reference Curves'!$V$16)),2))</f>
        <v/>
      </c>
    </row>
    <row r="96" spans="1:15" ht="15.75" x14ac:dyDescent="0.5">
      <c r="A96" s="557"/>
      <c r="B96" s="558"/>
      <c r="C96" s="35" t="s">
        <v>352</v>
      </c>
      <c r="D96" s="37"/>
      <c r="E96" s="163" t="str">
        <f>IF(E65="","",ROUND(IF(E65&gt;=28,1,IF(E65&lt;16,'Reference Curves'!$U$49*E65+'Reference Curves'!$U$50, 'Reference Curves'!$V$49*E65+'Reference Curves'!$V$50)),2))</f>
        <v/>
      </c>
      <c r="F96" s="163" t="str">
        <f>IF(F65="","",ROUND(IF(F65&gt;=28,1,IF(F65&lt;16,'Reference Curves'!$U$49*F65+'Reference Curves'!$U$50, 'Reference Curves'!$V$49*F65+'Reference Curves'!$V$50)),2))</f>
        <v/>
      </c>
      <c r="G96" s="163" t="str">
        <f>IF(G65="","",ROUND(IF(G65&gt;=28,1,IF(G65&lt;16,'Reference Curves'!$U$49*G65+'Reference Curves'!$U$50, 'Reference Curves'!$V$49*G65+'Reference Curves'!$V$50)),2))</f>
        <v/>
      </c>
      <c r="H96" s="163" t="str">
        <f>IF(H65="","",ROUND(IF(H65&gt;=28,1,IF(H65&lt;16,'Reference Curves'!$U$49*H65+'Reference Curves'!$U$50, 'Reference Curves'!$V$49*H65+'Reference Curves'!$V$50)),2))</f>
        <v/>
      </c>
      <c r="I96" s="163" t="str">
        <f>IF(I65="","",ROUND(IF(I65&gt;=28,1,IF(I65&lt;16,'Reference Curves'!$U$49*I65+'Reference Curves'!$U$50, 'Reference Curves'!$V$49*I65+'Reference Curves'!$V$50)),2))</f>
        <v/>
      </c>
      <c r="J96" s="163" t="str">
        <f>IF(J65="","",ROUND(IF(J65&gt;=28,1,IF(J65&lt;16,'Reference Curves'!$U$49*J65+'Reference Curves'!$U$50, 'Reference Curves'!$V$49*J65+'Reference Curves'!$V$50)),2))</f>
        <v/>
      </c>
      <c r="K96" s="163" t="str">
        <f>IF(K65="","",ROUND(IF(K65&gt;=28,1,IF(K65&lt;16,'Reference Curves'!$U$49*K65+'Reference Curves'!$U$50, 'Reference Curves'!$V$49*K65+'Reference Curves'!$V$50)),2))</f>
        <v/>
      </c>
      <c r="L96" s="163" t="str">
        <f>IF(L65="","",ROUND(IF(L65&gt;=28,1,IF(L65&lt;16,'Reference Curves'!$U$49*L65+'Reference Curves'!$U$50, 'Reference Curves'!$V$49*L65+'Reference Curves'!$V$50)),2))</f>
        <v/>
      </c>
      <c r="M96" s="163" t="str">
        <f>IF(M65="","",ROUND(IF(M65&gt;=28,1,IF(M65&lt;16,'Reference Curves'!$U$49*M65+'Reference Curves'!$U$50, 'Reference Curves'!$V$49*M65+'Reference Curves'!$V$50)),2))</f>
        <v/>
      </c>
      <c r="N96" s="163" t="str">
        <f>IF(N65="","",ROUND(IF(N65&gt;=28,1,IF(N65&lt;16,'Reference Curves'!$U$49*N65+'Reference Curves'!$U$50, 'Reference Curves'!$V$49*N65+'Reference Curves'!$V$50)),2))</f>
        <v/>
      </c>
      <c r="O96" s="163" t="str">
        <f>IF(O65="","",ROUND(IF(O65&gt;=28,1,IF(O65&lt;16,'Reference Curves'!$U$49*O65+'Reference Curves'!$U$50, 'Reference Curves'!$V$49*O65+'Reference Curves'!$V$50)),2))</f>
        <v/>
      </c>
    </row>
    <row r="97" spans="1:15" ht="15.75" x14ac:dyDescent="0.5">
      <c r="A97" s="557"/>
      <c r="B97" s="557" t="s">
        <v>148</v>
      </c>
      <c r="C97" s="31" t="s">
        <v>81</v>
      </c>
      <c r="D97" s="36"/>
      <c r="E97" s="162" t="str">
        <f>IF(E66="","",
ROUND(IF(E66&gt;=0.71,0,
IF(E66&lt;=0.1,1,
IF(E66&lt;=0.2,E66*'Reference Curves'!$W$84+'Reference Curves'!$W$85,
IF(E66&gt;=0.4,E66*'Reference Curves'!$U$84+'Reference Curves'!$U$85,
E66*'Reference Curves'!$V$84+'Reference Curves'!$V$85)))),2))</f>
        <v/>
      </c>
      <c r="F97" s="162" t="str">
        <f>IF(F66="","",
ROUND(IF(F66&gt;=0.71,0,
IF(F66&lt;=0.1,1,
IF(F66&lt;=0.2,F66*'Reference Curves'!$W$84+'Reference Curves'!$W$85,
IF(F66&gt;=0.4,F66*'Reference Curves'!$U$84+'Reference Curves'!$U$85,
F66*'Reference Curves'!$V$84+'Reference Curves'!$V$85)))),2))</f>
        <v/>
      </c>
      <c r="G97" s="162" t="str">
        <f>IF(G66="","",
ROUND(IF(G66&gt;=0.71,0,
IF(G66&lt;=0.1,1,
IF(G66&lt;=0.2,G66*'Reference Curves'!$W$84+'Reference Curves'!$W$85,
IF(G66&gt;=0.4,G66*'Reference Curves'!$U$84+'Reference Curves'!$U$85,
G66*'Reference Curves'!$V$84+'Reference Curves'!$V$85)))),2))</f>
        <v/>
      </c>
      <c r="H97" s="162" t="str">
        <f>IF(H66="","",
ROUND(IF(H66&gt;=0.71,0,
IF(H66&lt;=0.1,1,
IF(H66&lt;=0.2,H66*'Reference Curves'!$W$84+'Reference Curves'!$W$85,
IF(H66&gt;=0.4,H66*'Reference Curves'!$U$84+'Reference Curves'!$U$85,
H66*'Reference Curves'!$V$84+'Reference Curves'!$V$85)))),2))</f>
        <v/>
      </c>
      <c r="I97" s="162" t="str">
        <f>IF(I66="","",
ROUND(IF(I66&gt;=0.71,0,
IF(I66&lt;=0.1,1,
IF(I66&lt;=0.2,I66*'Reference Curves'!$W$84+'Reference Curves'!$W$85,
IF(I66&gt;=0.4,I66*'Reference Curves'!$U$84+'Reference Curves'!$U$85,
I66*'Reference Curves'!$V$84+'Reference Curves'!$V$85)))),2))</f>
        <v/>
      </c>
      <c r="J97" s="162" t="str">
        <f>IF(J66="","",
ROUND(IF(J66&gt;=0.71,0,
IF(J66&lt;=0.1,1,
IF(J66&lt;=0.2,J66*'Reference Curves'!$W$84+'Reference Curves'!$W$85,
IF(J66&gt;=0.4,J66*'Reference Curves'!$U$84+'Reference Curves'!$U$85,
J66*'Reference Curves'!$V$84+'Reference Curves'!$V$85)))),2))</f>
        <v/>
      </c>
      <c r="K97" s="162" t="str">
        <f>IF(K66="","",
ROUND(IF(K66&gt;=0.71,0,
IF(K66&lt;=0.1,1,
IF(K66&lt;=0.2,K66*'Reference Curves'!$W$84+'Reference Curves'!$W$85,
IF(K66&gt;=0.4,K66*'Reference Curves'!$U$84+'Reference Curves'!$U$85,
K66*'Reference Curves'!$V$84+'Reference Curves'!$V$85)))),2))</f>
        <v/>
      </c>
      <c r="L97" s="162" t="str">
        <f>IF(L66="","",
ROUND(IF(L66&gt;=0.71,0,
IF(L66&lt;=0.1,1,
IF(L66&lt;=0.2,L66*'Reference Curves'!$W$84+'Reference Curves'!$W$85,
IF(L66&gt;=0.4,L66*'Reference Curves'!$U$84+'Reference Curves'!$U$85,
L66*'Reference Curves'!$V$84+'Reference Curves'!$V$85)))),2))</f>
        <v/>
      </c>
      <c r="M97" s="162" t="str">
        <f>IF(M66="","",
ROUND(IF(M66&gt;=0.71,0,
IF(M66&lt;=0.1,1,
IF(M66&lt;=0.2,M66*'Reference Curves'!$W$84+'Reference Curves'!$W$85,
IF(M66&gt;=0.4,M66*'Reference Curves'!$U$84+'Reference Curves'!$U$85,
M66*'Reference Curves'!$V$84+'Reference Curves'!$V$85)))),2))</f>
        <v/>
      </c>
      <c r="N97" s="162" t="str">
        <f>IF(N66="","",
ROUND(IF(N66&gt;=0.71,0,
IF(N66&lt;=0.1,1,
IF(N66&lt;=0.2,N66*'Reference Curves'!$W$84+'Reference Curves'!$W$85,
IF(N66&gt;=0.4,N66*'Reference Curves'!$U$84+'Reference Curves'!$U$85,
N66*'Reference Curves'!$V$84+'Reference Curves'!$V$85)))),2))</f>
        <v/>
      </c>
      <c r="O97" s="162" t="str">
        <f>IF(O66="","",
ROUND(IF(O66&gt;=0.71,0,
IF(O66&lt;=0.1,1,
IF(O66&lt;=0.2,O66*'Reference Curves'!$W$84+'Reference Curves'!$W$85,
IF(O66&gt;=0.4,O66*'Reference Curves'!$U$84+'Reference Curves'!$U$85,
O66*'Reference Curves'!$V$84+'Reference Curves'!$V$85)))),2))</f>
        <v/>
      </c>
    </row>
    <row r="98" spans="1:15" ht="15.75" x14ac:dyDescent="0.5">
      <c r="A98" s="557"/>
      <c r="B98" s="557"/>
      <c r="C98" s="31" t="s">
        <v>43</v>
      </c>
      <c r="D98" s="31"/>
      <c r="E98" s="164" t="str">
        <f t="shared" ref="E98:O98" si="3">IF(E67="","",IF(OR(E67="Ex/VL",E67="VH/VL",E67="H/M",E67="H/L",E67="H/VL"),0.2, IF(OR(LEFT(E67,2)="Ex",E67="VH/Ex",E67="VH/VH", E67="VH/H"),0,IF(OR(E67="VH/M",E67="VH/L",E67="H/Ex", E67="H/VH", E67="H/H"),0.1, IF(OR(E67="M/Ex",E67="M/VH"),0.3, IF(E67="M/H",0.4, IF(E67="M/M",0.5, IF(OR(E67="M/L",E67="M/VL"),0.6, IF(E67="L/Ex",0.7, IF(OR(LEFT(E67,1)="L",LEFT(E67,2)="VL"),1))))))))))</f>
        <v/>
      </c>
      <c r="F98" s="164" t="str">
        <f t="shared" si="3"/>
        <v/>
      </c>
      <c r="G98" s="164" t="str">
        <f t="shared" si="3"/>
        <v/>
      </c>
      <c r="H98" s="164" t="str">
        <f t="shared" si="3"/>
        <v/>
      </c>
      <c r="I98" s="164" t="str">
        <f t="shared" si="3"/>
        <v/>
      </c>
      <c r="J98" s="164" t="str">
        <f t="shared" si="3"/>
        <v/>
      </c>
      <c r="K98" s="164" t="str">
        <f t="shared" si="3"/>
        <v/>
      </c>
      <c r="L98" s="164" t="str">
        <f t="shared" si="3"/>
        <v/>
      </c>
      <c r="M98" s="164" t="str">
        <f t="shared" si="3"/>
        <v/>
      </c>
      <c r="N98" s="164" t="str">
        <f t="shared" si="3"/>
        <v/>
      </c>
      <c r="O98" s="164" t="str">
        <f t="shared" si="3"/>
        <v/>
      </c>
    </row>
    <row r="99" spans="1:15" ht="15.75" x14ac:dyDescent="0.5">
      <c r="A99" s="557"/>
      <c r="B99" s="557"/>
      <c r="C99" s="34" t="s">
        <v>94</v>
      </c>
      <c r="D99" s="31"/>
      <c r="E99" s="164" t="str">
        <f>IF(E68="","",ROUND(IF(E68&gt;=50,0,IF(E68&lt;=5,1,IF(E68&gt;11,E68*'Reference Curves'!$U$118+'Reference Curves'!$U$119,E68*'Reference Curves'!$V$118+'Reference Curves'!$V$119))),2))</f>
        <v/>
      </c>
      <c r="F99" s="164" t="str">
        <f>IF(F68="","",ROUND(IF(F68&gt;=50,0,IF(F68&lt;=5,1,IF(F68&gt;11,F68*'Reference Curves'!$U$118+'Reference Curves'!$U$119,F68*'Reference Curves'!$V$118+'Reference Curves'!$V$119))),2))</f>
        <v/>
      </c>
      <c r="G99" s="164" t="str">
        <f>IF(G68="","",ROUND(IF(G68&gt;=50,0,IF(G68&lt;=5,1,IF(G68&gt;11,G68*'Reference Curves'!$U$118+'Reference Curves'!$U$119,G68*'Reference Curves'!$V$118+'Reference Curves'!$V$119))),2))</f>
        <v/>
      </c>
      <c r="H99" s="164" t="str">
        <f>IF(H68="","",ROUND(IF(H68&gt;=50,0,IF(H68&lt;=5,1,IF(H68&gt;11,H68*'Reference Curves'!$U$118+'Reference Curves'!$U$119,H68*'Reference Curves'!$V$118+'Reference Curves'!$V$119))),2))</f>
        <v/>
      </c>
      <c r="I99" s="164" t="str">
        <f>IF(I68="","",ROUND(IF(I68&gt;=50,0,IF(I68&lt;=5,1,IF(I68&gt;11,I68*'Reference Curves'!$U$118+'Reference Curves'!$U$119,I68*'Reference Curves'!$V$118+'Reference Curves'!$V$119))),2))</f>
        <v/>
      </c>
      <c r="J99" s="164" t="str">
        <f>IF(J68="","",ROUND(IF(J68&gt;=50,0,IF(J68&lt;=5,1,IF(J68&gt;11,J68*'Reference Curves'!$U$118+'Reference Curves'!$U$119,J68*'Reference Curves'!$V$118+'Reference Curves'!$V$119))),2))</f>
        <v/>
      </c>
      <c r="K99" s="164" t="str">
        <f>IF(K68="","",ROUND(IF(K68&gt;=50,0,IF(K68&lt;=5,1,IF(K68&gt;11,K68*'Reference Curves'!$U$118+'Reference Curves'!$U$119,K68*'Reference Curves'!$V$118+'Reference Curves'!$V$119))),2))</f>
        <v/>
      </c>
      <c r="L99" s="164" t="str">
        <f>IF(L68="","",ROUND(IF(L68&gt;=50,0,IF(L68&lt;=5,1,IF(L68&gt;11,L68*'Reference Curves'!$U$118+'Reference Curves'!$U$119,L68*'Reference Curves'!$V$118+'Reference Curves'!$V$119))),2))</f>
        <v/>
      </c>
      <c r="M99" s="164" t="str">
        <f>IF(M68="","",ROUND(IF(M68&gt;=50,0,IF(M68&lt;=5,1,IF(M68&gt;11,M68*'Reference Curves'!$U$118+'Reference Curves'!$U$119,M68*'Reference Curves'!$V$118+'Reference Curves'!$V$119))),2))</f>
        <v/>
      </c>
      <c r="N99" s="164" t="str">
        <f>IF(N68="","",ROUND(IF(N68&gt;=50,0,IF(N68&lt;=5,1,IF(N68&gt;11,N68*'Reference Curves'!$U$118+'Reference Curves'!$U$119,N68*'Reference Curves'!$V$118+'Reference Curves'!$V$119))),2))</f>
        <v/>
      </c>
      <c r="O99" s="164" t="str">
        <f>IF(O68="","",ROUND(IF(O68&gt;=50,0,IF(O68&lt;=5,1,IF(O68&gt;11,O68*'Reference Curves'!$U$118+'Reference Curves'!$U$119,O68*'Reference Curves'!$V$118+'Reference Curves'!$V$119))),2))</f>
        <v/>
      </c>
    </row>
    <row r="100" spans="1:15" ht="15.75" x14ac:dyDescent="0.5">
      <c r="A100" s="557"/>
      <c r="B100" s="557"/>
      <c r="C100" s="32" t="s">
        <v>158</v>
      </c>
      <c r="D100" s="37"/>
      <c r="E100" s="163" t="str">
        <f>IF(E69="","",ROUND(IF(E69&gt;=30,0,E69*'Reference Curves'!$U$150+'Reference Curves'!$U$151),2))</f>
        <v/>
      </c>
      <c r="F100" s="163" t="str">
        <f>IF(F69="","",ROUND(IF(F69&gt;=30,0,F69*'Reference Curves'!$U$150+'Reference Curves'!$U$151),2))</f>
        <v/>
      </c>
      <c r="G100" s="163" t="str">
        <f>IF(G69="","",ROUND(IF(G69&gt;=30,0,G69*'Reference Curves'!$U$150+'Reference Curves'!$U$151),2))</f>
        <v/>
      </c>
      <c r="H100" s="163" t="str">
        <f>IF(H69="","",ROUND(IF(H69&gt;=30,0,H69*'Reference Curves'!$U$150+'Reference Curves'!$U$151),2))</f>
        <v/>
      </c>
      <c r="I100" s="163" t="str">
        <f>IF(I69="","",ROUND(IF(I69&gt;=30,0,I69*'Reference Curves'!$U$150+'Reference Curves'!$U$151),2))</f>
        <v/>
      </c>
      <c r="J100" s="163" t="str">
        <f>IF(J69="","",ROUND(IF(J69&gt;=30,0,J69*'Reference Curves'!$U$150+'Reference Curves'!$U$151),2))</f>
        <v/>
      </c>
      <c r="K100" s="163" t="str">
        <f>IF(K69="","",ROUND(IF(K69&gt;=30,0,K69*'Reference Curves'!$U$150+'Reference Curves'!$U$151),2))</f>
        <v/>
      </c>
      <c r="L100" s="163" t="str">
        <f>IF(L69="","",ROUND(IF(L69&gt;=30,0,L69*'Reference Curves'!$U$150+'Reference Curves'!$U$151),2))</f>
        <v/>
      </c>
      <c r="M100" s="163" t="str">
        <f>IF(M69="","",ROUND(IF(M69&gt;=30,0,M69*'Reference Curves'!$U$150+'Reference Curves'!$U$151),2))</f>
        <v/>
      </c>
      <c r="N100" s="163" t="str">
        <f>IF(N69="","",ROUND(IF(N69&gt;=30,0,N69*'Reference Curves'!$U$150+'Reference Curves'!$U$151),2))</f>
        <v/>
      </c>
      <c r="O100" s="163" t="str">
        <f>IF(O69="","",ROUND(IF(O69&gt;=30,0,O69*'Reference Curves'!$U$150+'Reference Curves'!$U$151),2))</f>
        <v/>
      </c>
    </row>
    <row r="101" spans="1:15" ht="15.75" x14ac:dyDescent="0.5">
      <c r="A101" s="557"/>
      <c r="B101" s="556" t="s">
        <v>44</v>
      </c>
      <c r="C101" s="33" t="s">
        <v>175</v>
      </c>
      <c r="D101" s="36"/>
      <c r="E101" s="164" t="str">
        <f>IF(E70="","",
IF(AND($C$20="Single Family Residential",$C$19="&lt; 5 %"),
ROUND(IF(E70&lt;=0,0,IF(E70&gt;=300,1,IF(E70&gt;=50,E70*'Reference Curves'!$V$188+'Reference Curves'!$V$189,
E70*'Reference Curves'!$U$188+'Reference Curves'!$U$189))),2),
IF(AND($C$20="Single Family Residential",$C$19="5 - 20 %"),
ROUND(IF(E70&lt;=0,0,IF(E70&gt;=300,1,IF(E70&gt;=100,E70*'Reference Curves'!$X$188+'Reference Curves'!$X$189,
E70*'Reference Curves'!$W$188+'Reference Curves'!$W$189))),2),
IF(AND($C$20="Single Family Residential",$C$19="21 - 40 %"),
ROUND(IF(E70&lt;=0,0,IF(E70&gt;=300,1,IF(E70&gt;=150,E70*'Reference Curves'!$Z$188+'Reference Curves'!$Z$189,
E70*'Reference Curves'!$Y$188+'Reference Curves'!$Y$189))),2),
IF(AND($C$20="Single Family Residential",$C$19="&gt; 40 %"),
ROUND(IF(E70&lt;=0,0,IF(E70&gt;=300,1,IF(E70&gt;=200,E70*'Reference Curves'!$AB$188+'Reference Curves'!$AB$189,
E70*'Reference Curves'!$AA$188+'Reference Curves'!$AA$189))),2),                           IF(AND($C$20="Multi-Family Residential",$C$19="&lt; 5 %"),
ROUND(IF(E70&lt;=0,0,IF(E70&gt;=293,1,IF(E70&gt;=60,E70*'Reference Curves'!$V$225+'Reference Curves'!$V$226,
E70*'Reference Curves'!$U$225+'Reference Curves'!$U$226))),2),
IF(AND($C$20="Multi-Family Residential",$C$19="5 - 20 %"),
ROUND(IF(E70&lt;=0,0,IF(E70&gt;=293,1,IF(E70&gt;=120,E70*'Reference Curves'!$X$225+'Reference Curves'!$X$226,
E70*'Reference Curves'!$W$225+'Reference Curves'!$W$226))),2),
IF(AND($C$20="Multi-Family Residential",$C$19="21 - 40 %"),
ROUND(IF(E70&lt;=0,0,IF(E70&gt;=300,1,IF(E70&gt;=180,E70*'Reference Curves'!$Z$225+'Reference Curves'!$Z$226,
E70*'Reference Curves'!$Y$225+'Reference Curves'!$Y$226))),2),
IF(AND($C$20="Multi-Family Residential",$C$19="&gt; 40 %"),
ROUND(IF(E70&lt;=0,0,IF(E70&gt;=345,1,E70*'Reference Curves'!$AA$225+'Reference Curves'!$AA$226)),2),            IF(AND($C$20="Commercial / Golf Course / Agriculture / Silviculture", $C$19="&lt; 5 %"),
ROUND(IF(E70&lt;=0,0,IF(E70&gt;=300,1,IF(E70&gt;=150,E70*'Reference Curves'!$V$262+'Reference Curves'!$V$263,
E70*'Reference Curves'!$U$262+'Reference Curves'!$U$263))),2),
IF(AND($C$20="Commercial / Golf Course / Agriculture / Silviculture", $C$19="5 - 20 %"),
ROUND(IF(E70&lt;=0,0,IF(E70&gt;=300,1,IF(E70&gt;=150,E70*'Reference Curves'!$V$262+'Reference Curves'!$V$263,
E70*'Reference Curves'!$U$262+'Reference Curves'!$U$263))),2),
IF(AND($C$20="Commercial / Golf Course / Agriculture / Silviculture",$C$19="21 - 40 %"),
ROUND(IF(E70&lt;=0,0,IF(E70&gt;=322.5,1, E70*'Reference Curves'!$W$262+'Reference Curves'!$W$263)),2),
IF(AND($C$20="Commercial / Golf Course / Agriculture / Silviculture",$C$19="&gt; 40 %"),
ROUND(IF(E70&lt;=0,0,IF(E70&gt;=434.7,1,E70*'Reference Curves'!$X$262+'Reference Curves'!$X$263)),2),
                   IF(AND($C$20="Industrial / Landfill", $C$19="&lt; 5 %"),
ROUND(IF(E70&lt;=0,0,IF(E70&gt;=300,1,IF(E70&gt;=150,E70*'Reference Curves'!$V$298+'Reference Curves'!$V$299,
E70*'Reference Curves'!$U$298+'Reference Curves'!$U$299))),2),
IF(AND($C$20="Industrial / Landfill", $C$19="5 - 20 %"),
ROUND(IF(E70&lt;=0,0,IF(E70&gt;=357.1,1, E70*'Reference Curves'!$W$298+'Reference Curves'!$W$299)),2),
IF(AND($C$20="Industrial / Landfill",$C$19="21 - 40 %"),
ROUND(IF(E70&lt;=0,0,IF(E70&gt;=499.9,1, E70*'Reference Curves'!$X$298+'Reference Curves'!$X$299)),2)))))))))))))))))</f>
        <v/>
      </c>
      <c r="F101" s="164" t="str">
        <f>IF(F70="","",
IF(AND($C$20="Single Family Residential",$C$19="&lt; 5 %"),
ROUND(IF(F70&lt;=0,0,IF(F70&gt;=300,1,IF(F70&gt;=50,F70*'Reference Curves'!$V$188+'Reference Curves'!$V$189,
F70*'Reference Curves'!$U$188+'Reference Curves'!$U$189))),2),
IF(AND($C$20="Single Family Residential",$C$19="5 - 20 %"),
ROUND(IF(F70&lt;=0,0,IF(F70&gt;=300,1,IF(F70&gt;=100,F70*'Reference Curves'!$X$188+'Reference Curves'!$X$189,
F70*'Reference Curves'!$W$188+'Reference Curves'!$W$189))),2),
IF(AND($C$20="Single Family Residential",$C$19="21 - 40 %"),
ROUND(IF(F70&lt;=0,0,IF(F70&gt;=300,1,IF(F70&gt;=150,F70*'Reference Curves'!$Z$188+'Reference Curves'!$Z$189,
F70*'Reference Curves'!$Y$188+'Reference Curves'!$Y$189))),2),
IF(AND($C$20="Single Family Residential",$C$19="&gt; 40 %"),
ROUND(IF(F70&lt;=0,0,IF(F70&gt;=300,1,IF(F70&gt;=200,F70*'Reference Curves'!$AB$188+'Reference Curves'!$AB$189,
F70*'Reference Curves'!$AA$188+'Reference Curves'!$AA$189))),2),                           IF(AND($C$20="Multi-Family Residential",$C$19="&lt; 5 %"),
ROUND(IF(F70&lt;=0,0,IF(F70&gt;=293,1,IF(F70&gt;=60,F70*'Reference Curves'!$V$225+'Reference Curves'!$V$226,
F70*'Reference Curves'!$U$225+'Reference Curves'!$U$226))),2),
IF(AND($C$20="Multi-Family Residential",$C$19="5 - 20 %"),
ROUND(IF(F70&lt;=0,0,IF(F70&gt;=293,1,IF(F70&gt;=120,F70*'Reference Curves'!$X$225+'Reference Curves'!$X$226,
F70*'Reference Curves'!$W$225+'Reference Curves'!$W$226))),2),
IF(AND($C$20="Multi-Family Residential",$C$19="21 - 40 %"),
ROUND(IF(F70&lt;=0,0,IF(F70&gt;=300,1,IF(F70&gt;=180,F70*'Reference Curves'!$Z$225+'Reference Curves'!$Z$226,
F70*'Reference Curves'!$Y$225+'Reference Curves'!$Y$226))),2),
IF(AND($C$20="Multi-Family Residential",$C$19="&gt; 40 %"),
ROUND(IF(F70&lt;=0,0,IF(F70&gt;=345,1,F70*'Reference Curves'!$AA$225+'Reference Curves'!$AA$226)),2),            IF(AND($C$20="Commercial / Golf Course / Agriculture / Silviculture", $C$19="&lt; 5 %"),
ROUND(IF(F70&lt;=0,0,IF(F70&gt;=300,1,IF(F70&gt;=150,F70*'Reference Curves'!$V$262+'Reference Curves'!$V$263,
F70*'Reference Curves'!$U$262+'Reference Curves'!$U$263))),2),
IF(AND($C$20="Commercial / Golf Course / Agriculture / Silviculture", $C$19="5 - 20 %"),
ROUND(IF(F70&lt;=0,0,IF(F70&gt;=300,1,IF(F70&gt;=150,F70*'Reference Curves'!$V$262+'Reference Curves'!$V$263,
F70*'Reference Curves'!$U$262+'Reference Curves'!$U$263))),2),
IF(AND($C$20="Commercial / Golf Course / Agriculture / Silviculture",$C$19="21 - 40 %"),
ROUND(IF(F70&lt;=0,0,IF(F70&gt;=322.5,1, F70*'Reference Curves'!$W$262+'Reference Curves'!$W$263)),2),
IF(AND($C$20="Commercial / Golf Course / Agriculture / Silviculture",$C$19="&gt; 40 %"),
ROUND(IF(F70&lt;=0,0,IF(F70&gt;=434.7,1,F70*'Reference Curves'!$X$262+'Reference Curves'!$X$263)),2),
                   IF(AND($C$20="Industrial / Landfill", $C$19="&lt; 5 %"),
ROUND(IF(F70&lt;=0,0,IF(F70&gt;=300,1,IF(F70&gt;=150,F70*'Reference Curves'!$V$298+'Reference Curves'!$V$299,
F70*'Reference Curves'!$U$298+'Reference Curves'!$U$299))),2),
IF(AND($C$20="Industrial / Landfill", $C$19="5 - 20 %"),
ROUND(IF(F70&lt;=0,0,IF(F70&gt;=357.1,1, F70*'Reference Curves'!$W$298+'Reference Curves'!$W$299)),2),
IF(AND($C$20="Industrial / Landfill",$C$19="21 - 40 %"),
ROUND(IF(F70&lt;=0,0,IF(F70&gt;=499.9,1, F70*'Reference Curves'!$X$298+'Reference Curves'!$X$299)),2)))))))))))))))))</f>
        <v/>
      </c>
      <c r="G101" s="164" t="str">
        <f>IF(G70="","",
IF(AND($C$20="Single Family Residential",$C$19="&lt; 5 %"),
ROUND(IF(G70&lt;=0,0,IF(G70&gt;=300,1,IF(G70&gt;=50,G70*'Reference Curves'!$V$188+'Reference Curves'!$V$189,
G70*'Reference Curves'!$U$188+'Reference Curves'!$U$189))),2),
IF(AND($C$20="Single Family Residential",$C$19="5 - 20 %"),
ROUND(IF(G70&lt;=0,0,IF(G70&gt;=300,1,IF(G70&gt;=100,G70*'Reference Curves'!$X$188+'Reference Curves'!$X$189,
G70*'Reference Curves'!$W$188+'Reference Curves'!$W$189))),2),
IF(AND($C$20="Single Family Residential",$C$19="21 - 40 %"),
ROUND(IF(G70&lt;=0,0,IF(G70&gt;=300,1,IF(G70&gt;=150,G70*'Reference Curves'!$Z$188+'Reference Curves'!$Z$189,
G70*'Reference Curves'!$Y$188+'Reference Curves'!$Y$189))),2),
IF(AND($C$20="Single Family Residential",$C$19="&gt; 40 %"),
ROUND(IF(G70&lt;=0,0,IF(G70&gt;=300,1,IF(G70&gt;=200,G70*'Reference Curves'!$AB$188+'Reference Curves'!$AB$189,
G70*'Reference Curves'!$AA$188+'Reference Curves'!$AA$189))),2),                           IF(AND($C$20="Multi-Family Residential",$C$19="&lt; 5 %"),
ROUND(IF(G70&lt;=0,0,IF(G70&gt;=293,1,IF(G70&gt;=60,G70*'Reference Curves'!$V$225+'Reference Curves'!$V$226,
G70*'Reference Curves'!$U$225+'Reference Curves'!$U$226))),2),
IF(AND($C$20="Multi-Family Residential",$C$19="5 - 20 %"),
ROUND(IF(G70&lt;=0,0,IF(G70&gt;=293,1,IF(G70&gt;=120,G70*'Reference Curves'!$X$225+'Reference Curves'!$X$226,
G70*'Reference Curves'!$W$225+'Reference Curves'!$W$226))),2),
IF(AND($C$20="Multi-Family Residential",$C$19="21 - 40 %"),
ROUND(IF(G70&lt;=0,0,IF(G70&gt;=300,1,IF(G70&gt;=180,G70*'Reference Curves'!$Z$225+'Reference Curves'!$Z$226,
G70*'Reference Curves'!$Y$225+'Reference Curves'!$Y$226))),2),
IF(AND($C$20="Multi-Family Residential",$C$19="&gt; 40 %"),
ROUND(IF(G70&lt;=0,0,IF(G70&gt;=345,1,G70*'Reference Curves'!$AA$225+'Reference Curves'!$AA$226)),2),            IF(AND($C$20="Commercial / Golf Course / Agriculture / Silviculture", $C$19="&lt; 5 %"),
ROUND(IF(G70&lt;=0,0,IF(G70&gt;=300,1,IF(G70&gt;=150,G70*'Reference Curves'!$V$262+'Reference Curves'!$V$263,
G70*'Reference Curves'!$U$262+'Reference Curves'!$U$263))),2),
IF(AND($C$20="Commercial / Golf Course / Agriculture / Silviculture", $C$19="5 - 20 %"),
ROUND(IF(G70&lt;=0,0,IF(G70&gt;=300,1,IF(G70&gt;=150,G70*'Reference Curves'!$V$262+'Reference Curves'!$V$263,
G70*'Reference Curves'!$U$262+'Reference Curves'!$U$263))),2),
IF(AND($C$20="Commercial / Golf Course / Agriculture / Silviculture",$C$19="21 - 40 %"),
ROUND(IF(G70&lt;=0,0,IF(G70&gt;=322.5,1, G70*'Reference Curves'!$W$262+'Reference Curves'!$W$263)),2),
IF(AND($C$20="Commercial / Golf Course / Agriculture / Silviculture",$C$19="&gt; 40 %"),
ROUND(IF(G70&lt;=0,0,IF(G70&gt;=434.7,1,G70*'Reference Curves'!$X$262+'Reference Curves'!$X$263)),2),
                   IF(AND($C$20="Industrial / Landfill", $C$19="&lt; 5 %"),
ROUND(IF(G70&lt;=0,0,IF(G70&gt;=300,1,IF(G70&gt;=150,G70*'Reference Curves'!$V$298+'Reference Curves'!$V$299,
G70*'Reference Curves'!$U$298+'Reference Curves'!$U$299))),2),
IF(AND($C$20="Industrial / Landfill", $C$19="5 - 20 %"),
ROUND(IF(G70&lt;=0,0,IF(G70&gt;=357.1,1, G70*'Reference Curves'!$W$298+'Reference Curves'!$W$299)),2),
IF(AND($C$20="Industrial / Landfill",$C$19="21 - 40 %"),
ROUND(IF(G70&lt;=0,0,IF(G70&gt;=499.9,1, G70*'Reference Curves'!$X$298+'Reference Curves'!$X$299)),2)))))))))))))))))</f>
        <v/>
      </c>
      <c r="H101" s="164" t="str">
        <f>IF(H70="","",
IF(AND($C$20="Single Family Residential",$C$19="&lt; 5 %"),
ROUND(IF(H70&lt;=0,0,IF(H70&gt;=300,1,IF(H70&gt;=50,H70*'Reference Curves'!$V$188+'Reference Curves'!$V$189,
H70*'Reference Curves'!$U$188+'Reference Curves'!$U$189))),2),
IF(AND($C$20="Single Family Residential",$C$19="5 - 20 %"),
ROUND(IF(H70&lt;=0,0,IF(H70&gt;=300,1,IF(H70&gt;=100,H70*'Reference Curves'!$X$188+'Reference Curves'!$X$189,
H70*'Reference Curves'!$W$188+'Reference Curves'!$W$189))),2),
IF(AND($C$20="Single Family Residential",$C$19="21 - 40 %"),
ROUND(IF(H70&lt;=0,0,IF(H70&gt;=300,1,IF(H70&gt;=150,H70*'Reference Curves'!$Z$188+'Reference Curves'!$Z$189,
H70*'Reference Curves'!$Y$188+'Reference Curves'!$Y$189))),2),
IF(AND($C$20="Single Family Residential",$C$19="&gt; 40 %"),
ROUND(IF(H70&lt;=0,0,IF(H70&gt;=300,1,IF(H70&gt;=200,H70*'Reference Curves'!$AB$188+'Reference Curves'!$AB$189,
H70*'Reference Curves'!$AA$188+'Reference Curves'!$AA$189))),2),                           IF(AND($C$20="Multi-Family Residential",$C$19="&lt; 5 %"),
ROUND(IF(H70&lt;=0,0,IF(H70&gt;=293,1,IF(H70&gt;=60,H70*'Reference Curves'!$V$225+'Reference Curves'!$V$226,
H70*'Reference Curves'!$U$225+'Reference Curves'!$U$226))),2),
IF(AND($C$20="Multi-Family Residential",$C$19="5 - 20 %"),
ROUND(IF(H70&lt;=0,0,IF(H70&gt;=293,1,IF(H70&gt;=120,H70*'Reference Curves'!$X$225+'Reference Curves'!$X$226,
H70*'Reference Curves'!$W$225+'Reference Curves'!$W$226))),2),
IF(AND($C$20="Multi-Family Residential",$C$19="21 - 40 %"),
ROUND(IF(H70&lt;=0,0,IF(H70&gt;=300,1,IF(H70&gt;=180,H70*'Reference Curves'!$Z$225+'Reference Curves'!$Z$226,
H70*'Reference Curves'!$Y$225+'Reference Curves'!$Y$226))),2),
IF(AND($C$20="Multi-Family Residential",$C$19="&gt; 40 %"),
ROUND(IF(H70&lt;=0,0,IF(H70&gt;=345,1,H70*'Reference Curves'!$AA$225+'Reference Curves'!$AA$226)),2),            IF(AND($C$20="Commercial / Golf Course / Agriculture / Silviculture", $C$19="&lt; 5 %"),
ROUND(IF(H70&lt;=0,0,IF(H70&gt;=300,1,IF(H70&gt;=150,H70*'Reference Curves'!$V$262+'Reference Curves'!$V$263,
H70*'Reference Curves'!$U$262+'Reference Curves'!$U$263))),2),
IF(AND($C$20="Commercial / Golf Course / Agriculture / Silviculture", $C$19="5 - 20 %"),
ROUND(IF(H70&lt;=0,0,IF(H70&gt;=300,1,IF(H70&gt;=150,H70*'Reference Curves'!$V$262+'Reference Curves'!$V$263,
H70*'Reference Curves'!$U$262+'Reference Curves'!$U$263))),2),
IF(AND($C$20="Commercial / Golf Course / Agriculture / Silviculture",$C$19="21 - 40 %"),
ROUND(IF(H70&lt;=0,0,IF(H70&gt;=322.5,1, H70*'Reference Curves'!$W$262+'Reference Curves'!$W$263)),2),
IF(AND($C$20="Commercial / Golf Course / Agriculture / Silviculture",$C$19="&gt; 40 %"),
ROUND(IF(H70&lt;=0,0,IF(H70&gt;=434.7,1,H70*'Reference Curves'!$X$262+'Reference Curves'!$X$263)),2),
                   IF(AND($C$20="Industrial / Landfill", $C$19="&lt; 5 %"),
ROUND(IF(H70&lt;=0,0,IF(H70&gt;=300,1,IF(H70&gt;=150,H70*'Reference Curves'!$V$298+'Reference Curves'!$V$299,
H70*'Reference Curves'!$U$298+'Reference Curves'!$U$299))),2),
IF(AND($C$20="Industrial / Landfill", $C$19="5 - 20 %"),
ROUND(IF(H70&lt;=0,0,IF(H70&gt;=357.1,1, H70*'Reference Curves'!$W$298+'Reference Curves'!$W$299)),2),
IF(AND($C$20="Industrial / Landfill",$C$19="21 - 40 %"),
ROUND(IF(H70&lt;=0,0,IF(H70&gt;=499.9,1, H70*'Reference Curves'!$X$298+'Reference Curves'!$X$299)),2)))))))))))))))))</f>
        <v/>
      </c>
      <c r="I101" s="164" t="str">
        <f>IF(I70="","",
IF(AND($C$20="Single Family Residential",$C$19="&lt; 5 %"),
ROUND(IF(I70&lt;=0,0,IF(I70&gt;=300,1,IF(I70&gt;=50,I70*'Reference Curves'!$V$188+'Reference Curves'!$V$189,
I70*'Reference Curves'!$U$188+'Reference Curves'!$U$189))),2),
IF(AND($C$20="Single Family Residential",$C$19="5 - 20 %"),
ROUND(IF(I70&lt;=0,0,IF(I70&gt;=300,1,IF(I70&gt;=100,I70*'Reference Curves'!$X$188+'Reference Curves'!$X$189,
I70*'Reference Curves'!$W$188+'Reference Curves'!$W$189))),2),
IF(AND($C$20="Single Family Residential",$C$19="21 - 40 %"),
ROUND(IF(I70&lt;=0,0,IF(I70&gt;=300,1,IF(I70&gt;=150,I70*'Reference Curves'!$Z$188+'Reference Curves'!$Z$189,
I70*'Reference Curves'!$Y$188+'Reference Curves'!$Y$189))),2),
IF(AND($C$20="Single Family Residential",$C$19="&gt; 40 %"),
ROUND(IF(I70&lt;=0,0,IF(I70&gt;=300,1,IF(I70&gt;=200,I70*'Reference Curves'!$AB$188+'Reference Curves'!$AB$189,
I70*'Reference Curves'!$AA$188+'Reference Curves'!$AA$189))),2),                           IF(AND($C$20="Multi-Family Residential",$C$19="&lt; 5 %"),
ROUND(IF(I70&lt;=0,0,IF(I70&gt;=293,1,IF(I70&gt;=60,I70*'Reference Curves'!$V$225+'Reference Curves'!$V$226,
I70*'Reference Curves'!$U$225+'Reference Curves'!$U$226))),2),
IF(AND($C$20="Multi-Family Residential",$C$19="5 - 20 %"),
ROUND(IF(I70&lt;=0,0,IF(I70&gt;=293,1,IF(I70&gt;=120,I70*'Reference Curves'!$X$225+'Reference Curves'!$X$226,
I70*'Reference Curves'!$W$225+'Reference Curves'!$W$226))),2),
IF(AND($C$20="Multi-Family Residential",$C$19="21 - 40 %"),
ROUND(IF(I70&lt;=0,0,IF(I70&gt;=300,1,IF(I70&gt;=180,I70*'Reference Curves'!$Z$225+'Reference Curves'!$Z$226,
I70*'Reference Curves'!$Y$225+'Reference Curves'!$Y$226))),2),
IF(AND($C$20="Multi-Family Residential",$C$19="&gt; 40 %"),
ROUND(IF(I70&lt;=0,0,IF(I70&gt;=345,1,I70*'Reference Curves'!$AA$225+'Reference Curves'!$AA$226)),2),            IF(AND($C$20="Commercial / Golf Course / Agriculture / Silviculture", $C$19="&lt; 5 %"),
ROUND(IF(I70&lt;=0,0,IF(I70&gt;=300,1,IF(I70&gt;=150,I70*'Reference Curves'!$V$262+'Reference Curves'!$V$263,
I70*'Reference Curves'!$U$262+'Reference Curves'!$U$263))),2),
IF(AND($C$20="Commercial / Golf Course / Agriculture / Silviculture", $C$19="5 - 20 %"),
ROUND(IF(I70&lt;=0,0,IF(I70&gt;=300,1,IF(I70&gt;=150,I70*'Reference Curves'!$V$262+'Reference Curves'!$V$263,
I70*'Reference Curves'!$U$262+'Reference Curves'!$U$263))),2),
IF(AND($C$20="Commercial / Golf Course / Agriculture / Silviculture",$C$19="21 - 40 %"),
ROUND(IF(I70&lt;=0,0,IF(I70&gt;=322.5,1, I70*'Reference Curves'!$W$262+'Reference Curves'!$W$263)),2),
IF(AND($C$20="Commercial / Golf Course / Agriculture / Silviculture",$C$19="&gt; 40 %"),
ROUND(IF(I70&lt;=0,0,IF(I70&gt;=434.7,1,I70*'Reference Curves'!$X$262+'Reference Curves'!$X$263)),2),
                   IF(AND($C$20="Industrial / Landfill", $C$19="&lt; 5 %"),
ROUND(IF(I70&lt;=0,0,IF(I70&gt;=300,1,IF(I70&gt;=150,I70*'Reference Curves'!$V$298+'Reference Curves'!$V$299,
I70*'Reference Curves'!$U$298+'Reference Curves'!$U$299))),2),
IF(AND($C$20="Industrial / Landfill", $C$19="5 - 20 %"),
ROUND(IF(I70&lt;=0,0,IF(I70&gt;=357.1,1, I70*'Reference Curves'!$W$298+'Reference Curves'!$W$299)),2),
IF(AND($C$20="Industrial / Landfill",$C$19="21 - 40 %"),
ROUND(IF(I70&lt;=0,0,IF(I70&gt;=499.9,1, I70*'Reference Curves'!$X$298+'Reference Curves'!$X$299)),2)))))))))))))))))</f>
        <v/>
      </c>
      <c r="J101" s="164" t="str">
        <f>IF(J70="","",
IF(AND($C$20="Single Family Residential",$C$19="&lt; 5 %"),
ROUND(IF(J70&lt;=0,0,IF(J70&gt;=300,1,IF(J70&gt;=50,J70*'Reference Curves'!$V$188+'Reference Curves'!$V$189,
J70*'Reference Curves'!$U$188+'Reference Curves'!$U$189))),2),
IF(AND($C$20="Single Family Residential",$C$19="5 - 20 %"),
ROUND(IF(J70&lt;=0,0,IF(J70&gt;=300,1,IF(J70&gt;=100,J70*'Reference Curves'!$X$188+'Reference Curves'!$X$189,
J70*'Reference Curves'!$W$188+'Reference Curves'!$W$189))),2),
IF(AND($C$20="Single Family Residential",$C$19="21 - 40 %"),
ROUND(IF(J70&lt;=0,0,IF(J70&gt;=300,1,IF(J70&gt;=150,J70*'Reference Curves'!$Z$188+'Reference Curves'!$Z$189,
J70*'Reference Curves'!$Y$188+'Reference Curves'!$Y$189))),2),
IF(AND($C$20="Single Family Residential",$C$19="&gt; 40 %"),
ROUND(IF(J70&lt;=0,0,IF(J70&gt;=300,1,IF(J70&gt;=200,J70*'Reference Curves'!$AB$188+'Reference Curves'!$AB$189,
J70*'Reference Curves'!$AA$188+'Reference Curves'!$AA$189))),2),                           IF(AND($C$20="Multi-Family Residential",$C$19="&lt; 5 %"),
ROUND(IF(J70&lt;=0,0,IF(J70&gt;=293,1,IF(J70&gt;=60,J70*'Reference Curves'!$V$225+'Reference Curves'!$V$226,
J70*'Reference Curves'!$U$225+'Reference Curves'!$U$226))),2),
IF(AND($C$20="Multi-Family Residential",$C$19="5 - 20 %"),
ROUND(IF(J70&lt;=0,0,IF(J70&gt;=293,1,IF(J70&gt;=120,J70*'Reference Curves'!$X$225+'Reference Curves'!$X$226,
J70*'Reference Curves'!$W$225+'Reference Curves'!$W$226))),2),
IF(AND($C$20="Multi-Family Residential",$C$19="21 - 40 %"),
ROUND(IF(J70&lt;=0,0,IF(J70&gt;=300,1,IF(J70&gt;=180,J70*'Reference Curves'!$Z$225+'Reference Curves'!$Z$226,
J70*'Reference Curves'!$Y$225+'Reference Curves'!$Y$226))),2),
IF(AND($C$20="Multi-Family Residential",$C$19="&gt; 40 %"),
ROUND(IF(J70&lt;=0,0,IF(J70&gt;=345,1,J70*'Reference Curves'!$AA$225+'Reference Curves'!$AA$226)),2),            IF(AND($C$20="Commercial / Golf Course / Agriculture / Silviculture", $C$19="&lt; 5 %"),
ROUND(IF(J70&lt;=0,0,IF(J70&gt;=300,1,IF(J70&gt;=150,J70*'Reference Curves'!$V$262+'Reference Curves'!$V$263,
J70*'Reference Curves'!$U$262+'Reference Curves'!$U$263))),2),
IF(AND($C$20="Commercial / Golf Course / Agriculture / Silviculture", $C$19="5 - 20 %"),
ROUND(IF(J70&lt;=0,0,IF(J70&gt;=300,1,IF(J70&gt;=150,J70*'Reference Curves'!$V$262+'Reference Curves'!$V$263,
J70*'Reference Curves'!$U$262+'Reference Curves'!$U$263))),2),
IF(AND($C$20="Commercial / Golf Course / Agriculture / Silviculture",$C$19="21 - 40 %"),
ROUND(IF(J70&lt;=0,0,IF(J70&gt;=322.5,1, J70*'Reference Curves'!$W$262+'Reference Curves'!$W$263)),2),
IF(AND($C$20="Commercial / Golf Course / Agriculture / Silviculture",$C$19="&gt; 40 %"),
ROUND(IF(J70&lt;=0,0,IF(J70&gt;=434.7,1,J70*'Reference Curves'!$X$262+'Reference Curves'!$X$263)),2),
                   IF(AND($C$20="Industrial / Landfill", $C$19="&lt; 5 %"),
ROUND(IF(J70&lt;=0,0,IF(J70&gt;=300,1,IF(J70&gt;=150,J70*'Reference Curves'!$V$298+'Reference Curves'!$V$299,
J70*'Reference Curves'!$U$298+'Reference Curves'!$U$299))),2),
IF(AND($C$20="Industrial / Landfill", $C$19="5 - 20 %"),
ROUND(IF(J70&lt;=0,0,IF(J70&gt;=357.1,1, J70*'Reference Curves'!$W$298+'Reference Curves'!$W$299)),2),
IF(AND($C$20="Industrial / Landfill",$C$19="21 - 40 %"),
ROUND(IF(J70&lt;=0,0,IF(J70&gt;=499.9,1, J70*'Reference Curves'!$X$298+'Reference Curves'!$X$299)),2)))))))))))))))))</f>
        <v/>
      </c>
      <c r="K101" s="164" t="str">
        <f>IF(K70="","",
IF(AND($C$20="Single Family Residential",$C$19="&lt; 5 %"),
ROUND(IF(K70&lt;=0,0,IF(K70&gt;=300,1,IF(K70&gt;=50,K70*'Reference Curves'!$V$188+'Reference Curves'!$V$189,
K70*'Reference Curves'!$U$188+'Reference Curves'!$U$189))),2),
IF(AND($C$20="Single Family Residential",$C$19="5 - 20 %"),
ROUND(IF(K70&lt;=0,0,IF(K70&gt;=300,1,IF(K70&gt;=100,K70*'Reference Curves'!$X$188+'Reference Curves'!$X$189,
K70*'Reference Curves'!$W$188+'Reference Curves'!$W$189))),2),
IF(AND($C$20="Single Family Residential",$C$19="21 - 40 %"),
ROUND(IF(K70&lt;=0,0,IF(K70&gt;=300,1,IF(K70&gt;=150,K70*'Reference Curves'!$Z$188+'Reference Curves'!$Z$189,
K70*'Reference Curves'!$Y$188+'Reference Curves'!$Y$189))),2),
IF(AND($C$20="Single Family Residential",$C$19="&gt; 40 %"),
ROUND(IF(K70&lt;=0,0,IF(K70&gt;=300,1,IF(K70&gt;=200,K70*'Reference Curves'!$AB$188+'Reference Curves'!$AB$189,
K70*'Reference Curves'!$AA$188+'Reference Curves'!$AA$189))),2),                           IF(AND($C$20="Multi-Family Residential",$C$19="&lt; 5 %"),
ROUND(IF(K70&lt;=0,0,IF(K70&gt;=293,1,IF(K70&gt;=60,K70*'Reference Curves'!$V$225+'Reference Curves'!$V$226,
K70*'Reference Curves'!$U$225+'Reference Curves'!$U$226))),2),
IF(AND($C$20="Multi-Family Residential",$C$19="5 - 20 %"),
ROUND(IF(K70&lt;=0,0,IF(K70&gt;=293,1,IF(K70&gt;=120,K70*'Reference Curves'!$X$225+'Reference Curves'!$X$226,
K70*'Reference Curves'!$W$225+'Reference Curves'!$W$226))),2),
IF(AND($C$20="Multi-Family Residential",$C$19="21 - 40 %"),
ROUND(IF(K70&lt;=0,0,IF(K70&gt;=300,1,IF(K70&gt;=180,K70*'Reference Curves'!$Z$225+'Reference Curves'!$Z$226,
K70*'Reference Curves'!$Y$225+'Reference Curves'!$Y$226))),2),
IF(AND($C$20="Multi-Family Residential",$C$19="&gt; 40 %"),
ROUND(IF(K70&lt;=0,0,IF(K70&gt;=345,1,K70*'Reference Curves'!$AA$225+'Reference Curves'!$AA$226)),2),            IF(AND($C$20="Commercial / Golf Course / Agriculture / Silviculture", $C$19="&lt; 5 %"),
ROUND(IF(K70&lt;=0,0,IF(K70&gt;=300,1,IF(K70&gt;=150,K70*'Reference Curves'!$V$262+'Reference Curves'!$V$263,
K70*'Reference Curves'!$U$262+'Reference Curves'!$U$263))),2),
IF(AND($C$20="Commercial / Golf Course / Agriculture / Silviculture", $C$19="5 - 20 %"),
ROUND(IF(K70&lt;=0,0,IF(K70&gt;=300,1,IF(K70&gt;=150,K70*'Reference Curves'!$V$262+'Reference Curves'!$V$263,
K70*'Reference Curves'!$U$262+'Reference Curves'!$U$263))),2),
IF(AND($C$20="Commercial / Golf Course / Agriculture / Silviculture",$C$19="21 - 40 %"),
ROUND(IF(K70&lt;=0,0,IF(K70&gt;=322.5,1, K70*'Reference Curves'!$W$262+'Reference Curves'!$W$263)),2),
IF(AND($C$20="Commercial / Golf Course / Agriculture / Silviculture",$C$19="&gt; 40 %"),
ROUND(IF(K70&lt;=0,0,IF(K70&gt;=434.7,1,K70*'Reference Curves'!$X$262+'Reference Curves'!$X$263)),2),
                   IF(AND($C$20="Industrial / Landfill", $C$19="&lt; 5 %"),
ROUND(IF(K70&lt;=0,0,IF(K70&gt;=300,1,IF(K70&gt;=150,K70*'Reference Curves'!$V$298+'Reference Curves'!$V$299,
K70*'Reference Curves'!$U$298+'Reference Curves'!$U$299))),2),
IF(AND($C$20="Industrial / Landfill", $C$19="5 - 20 %"),
ROUND(IF(K70&lt;=0,0,IF(K70&gt;=357.1,1, K70*'Reference Curves'!$W$298+'Reference Curves'!$W$299)),2),
IF(AND($C$20="Industrial / Landfill",$C$19="21 - 40 %"),
ROUND(IF(K70&lt;=0,0,IF(K70&gt;=499.9,1, K70*'Reference Curves'!$X$298+'Reference Curves'!$X$299)),2)))))))))))))))))</f>
        <v/>
      </c>
      <c r="L101" s="164" t="str">
        <f>IF(L70="","",
IF(AND($C$20="Single Family Residential",$C$19="&lt; 5 %"),
ROUND(IF(L70&lt;=0,0,IF(L70&gt;=300,1,IF(L70&gt;=50,L70*'Reference Curves'!$V$188+'Reference Curves'!$V$189,
L70*'Reference Curves'!$U$188+'Reference Curves'!$U$189))),2),
IF(AND($C$20="Single Family Residential",$C$19="5 - 20 %"),
ROUND(IF(L70&lt;=0,0,IF(L70&gt;=300,1,IF(L70&gt;=100,L70*'Reference Curves'!$X$188+'Reference Curves'!$X$189,
L70*'Reference Curves'!$W$188+'Reference Curves'!$W$189))),2),
IF(AND($C$20="Single Family Residential",$C$19="21 - 40 %"),
ROUND(IF(L70&lt;=0,0,IF(L70&gt;=300,1,IF(L70&gt;=150,L70*'Reference Curves'!$Z$188+'Reference Curves'!$Z$189,
L70*'Reference Curves'!$Y$188+'Reference Curves'!$Y$189))),2),
IF(AND($C$20="Single Family Residential",$C$19="&gt; 40 %"),
ROUND(IF(L70&lt;=0,0,IF(L70&gt;=300,1,IF(L70&gt;=200,L70*'Reference Curves'!$AB$188+'Reference Curves'!$AB$189,
L70*'Reference Curves'!$AA$188+'Reference Curves'!$AA$189))),2),                           IF(AND($C$20="Multi-Family Residential",$C$19="&lt; 5 %"),
ROUND(IF(L70&lt;=0,0,IF(L70&gt;=293,1,IF(L70&gt;=60,L70*'Reference Curves'!$V$225+'Reference Curves'!$V$226,
L70*'Reference Curves'!$U$225+'Reference Curves'!$U$226))),2),
IF(AND($C$20="Multi-Family Residential",$C$19="5 - 20 %"),
ROUND(IF(L70&lt;=0,0,IF(L70&gt;=293,1,IF(L70&gt;=120,L70*'Reference Curves'!$X$225+'Reference Curves'!$X$226,
L70*'Reference Curves'!$W$225+'Reference Curves'!$W$226))),2),
IF(AND($C$20="Multi-Family Residential",$C$19="21 - 40 %"),
ROUND(IF(L70&lt;=0,0,IF(L70&gt;=300,1,IF(L70&gt;=180,L70*'Reference Curves'!$Z$225+'Reference Curves'!$Z$226,
L70*'Reference Curves'!$Y$225+'Reference Curves'!$Y$226))),2),
IF(AND($C$20="Multi-Family Residential",$C$19="&gt; 40 %"),
ROUND(IF(L70&lt;=0,0,IF(L70&gt;=345,1,L70*'Reference Curves'!$AA$225+'Reference Curves'!$AA$226)),2),            IF(AND($C$20="Commercial / Golf Course / Agriculture / Silviculture", $C$19="&lt; 5 %"),
ROUND(IF(L70&lt;=0,0,IF(L70&gt;=300,1,IF(L70&gt;=150,L70*'Reference Curves'!$V$262+'Reference Curves'!$V$263,
L70*'Reference Curves'!$U$262+'Reference Curves'!$U$263))),2),
IF(AND($C$20="Commercial / Golf Course / Agriculture / Silviculture", $C$19="5 - 20 %"),
ROUND(IF(L70&lt;=0,0,IF(L70&gt;=300,1,IF(L70&gt;=150,L70*'Reference Curves'!$V$262+'Reference Curves'!$V$263,
L70*'Reference Curves'!$U$262+'Reference Curves'!$U$263))),2),
IF(AND($C$20="Commercial / Golf Course / Agriculture / Silviculture",$C$19="21 - 40 %"),
ROUND(IF(L70&lt;=0,0,IF(L70&gt;=322.5,1, L70*'Reference Curves'!$W$262+'Reference Curves'!$W$263)),2),
IF(AND($C$20="Commercial / Golf Course / Agriculture / Silviculture",$C$19="&gt; 40 %"),
ROUND(IF(L70&lt;=0,0,IF(L70&gt;=434.7,1,L70*'Reference Curves'!$X$262+'Reference Curves'!$X$263)),2),
                   IF(AND($C$20="Industrial / Landfill", $C$19="&lt; 5 %"),
ROUND(IF(L70&lt;=0,0,IF(L70&gt;=300,1,IF(L70&gt;=150,L70*'Reference Curves'!$V$298+'Reference Curves'!$V$299,
L70*'Reference Curves'!$U$298+'Reference Curves'!$U$299))),2),
IF(AND($C$20="Industrial / Landfill", $C$19="5 - 20 %"),
ROUND(IF(L70&lt;=0,0,IF(L70&gt;=357.1,1, L70*'Reference Curves'!$W$298+'Reference Curves'!$W$299)),2),
IF(AND($C$20="Industrial / Landfill",$C$19="21 - 40 %"),
ROUND(IF(L70&lt;=0,0,IF(L70&gt;=499.9,1, L70*'Reference Curves'!$X$298+'Reference Curves'!$X$299)),2)))))))))))))))))</f>
        <v/>
      </c>
      <c r="M101" s="164" t="str">
        <f>IF(M70="","",
IF(AND($C$20="Single Family Residential",$C$19="&lt; 5 %"),
ROUND(IF(M70&lt;=0,0,IF(M70&gt;=300,1,IF(M70&gt;=50,M70*'Reference Curves'!$V$188+'Reference Curves'!$V$189,
M70*'Reference Curves'!$U$188+'Reference Curves'!$U$189))),2),
IF(AND($C$20="Single Family Residential",$C$19="5 - 20 %"),
ROUND(IF(M70&lt;=0,0,IF(M70&gt;=300,1,IF(M70&gt;=100,M70*'Reference Curves'!$X$188+'Reference Curves'!$X$189,
M70*'Reference Curves'!$W$188+'Reference Curves'!$W$189))),2),
IF(AND($C$20="Single Family Residential",$C$19="21 - 40 %"),
ROUND(IF(M70&lt;=0,0,IF(M70&gt;=300,1,IF(M70&gt;=150,M70*'Reference Curves'!$Z$188+'Reference Curves'!$Z$189,
M70*'Reference Curves'!$Y$188+'Reference Curves'!$Y$189))),2),
IF(AND($C$20="Single Family Residential",$C$19="&gt; 40 %"),
ROUND(IF(M70&lt;=0,0,IF(M70&gt;=300,1,IF(M70&gt;=200,M70*'Reference Curves'!$AB$188+'Reference Curves'!$AB$189,
M70*'Reference Curves'!$AA$188+'Reference Curves'!$AA$189))),2),                           IF(AND($C$20="Multi-Family Residential",$C$19="&lt; 5 %"),
ROUND(IF(M70&lt;=0,0,IF(M70&gt;=293,1,IF(M70&gt;=60,M70*'Reference Curves'!$V$225+'Reference Curves'!$V$226,
M70*'Reference Curves'!$U$225+'Reference Curves'!$U$226))),2),
IF(AND($C$20="Multi-Family Residential",$C$19="5 - 20 %"),
ROUND(IF(M70&lt;=0,0,IF(M70&gt;=293,1,IF(M70&gt;=120,M70*'Reference Curves'!$X$225+'Reference Curves'!$X$226,
M70*'Reference Curves'!$W$225+'Reference Curves'!$W$226))),2),
IF(AND($C$20="Multi-Family Residential",$C$19="21 - 40 %"),
ROUND(IF(M70&lt;=0,0,IF(M70&gt;=300,1,IF(M70&gt;=180,M70*'Reference Curves'!$Z$225+'Reference Curves'!$Z$226,
M70*'Reference Curves'!$Y$225+'Reference Curves'!$Y$226))),2),
IF(AND($C$20="Multi-Family Residential",$C$19="&gt; 40 %"),
ROUND(IF(M70&lt;=0,0,IF(M70&gt;=345,1,M70*'Reference Curves'!$AA$225+'Reference Curves'!$AA$226)),2),            IF(AND($C$20="Commercial / Golf Course / Agriculture / Silviculture", $C$19="&lt; 5 %"),
ROUND(IF(M70&lt;=0,0,IF(M70&gt;=300,1,IF(M70&gt;=150,M70*'Reference Curves'!$V$262+'Reference Curves'!$V$263,
M70*'Reference Curves'!$U$262+'Reference Curves'!$U$263))),2),
IF(AND($C$20="Commercial / Golf Course / Agriculture / Silviculture", $C$19="5 - 20 %"),
ROUND(IF(M70&lt;=0,0,IF(M70&gt;=300,1,IF(M70&gt;=150,M70*'Reference Curves'!$V$262+'Reference Curves'!$V$263,
M70*'Reference Curves'!$U$262+'Reference Curves'!$U$263))),2),
IF(AND($C$20="Commercial / Golf Course / Agriculture / Silviculture",$C$19="21 - 40 %"),
ROUND(IF(M70&lt;=0,0,IF(M70&gt;=322.5,1, M70*'Reference Curves'!$W$262+'Reference Curves'!$W$263)),2),
IF(AND($C$20="Commercial / Golf Course / Agriculture / Silviculture",$C$19="&gt; 40 %"),
ROUND(IF(M70&lt;=0,0,IF(M70&gt;=434.7,1,M70*'Reference Curves'!$X$262+'Reference Curves'!$X$263)),2),
                   IF(AND($C$20="Industrial / Landfill", $C$19="&lt; 5 %"),
ROUND(IF(M70&lt;=0,0,IF(M70&gt;=300,1,IF(M70&gt;=150,M70*'Reference Curves'!$V$298+'Reference Curves'!$V$299,
M70*'Reference Curves'!$U$298+'Reference Curves'!$U$299))),2),
IF(AND($C$20="Industrial / Landfill", $C$19="5 - 20 %"),
ROUND(IF(M70&lt;=0,0,IF(M70&gt;=357.1,1, M70*'Reference Curves'!$W$298+'Reference Curves'!$W$299)),2),
IF(AND($C$20="Industrial / Landfill",$C$19="21 - 40 %"),
ROUND(IF(M70&lt;=0,0,IF(M70&gt;=499.9,1, M70*'Reference Curves'!$X$298+'Reference Curves'!$X$299)),2)))))))))))))))))</f>
        <v/>
      </c>
      <c r="N101" s="164" t="str">
        <f>IF(N70="","",
IF(AND($C$20="Single Family Residential",$C$19="&lt; 5 %"),
ROUND(IF(N70&lt;=0,0,IF(N70&gt;=300,1,IF(N70&gt;=50,N70*'Reference Curves'!$V$188+'Reference Curves'!$V$189,
N70*'Reference Curves'!$U$188+'Reference Curves'!$U$189))),2),
IF(AND($C$20="Single Family Residential",$C$19="5 - 20 %"),
ROUND(IF(N70&lt;=0,0,IF(N70&gt;=300,1,IF(N70&gt;=100,N70*'Reference Curves'!$X$188+'Reference Curves'!$X$189,
N70*'Reference Curves'!$W$188+'Reference Curves'!$W$189))),2),
IF(AND($C$20="Single Family Residential",$C$19="21 - 40 %"),
ROUND(IF(N70&lt;=0,0,IF(N70&gt;=300,1,IF(N70&gt;=150,N70*'Reference Curves'!$Z$188+'Reference Curves'!$Z$189,
N70*'Reference Curves'!$Y$188+'Reference Curves'!$Y$189))),2),
IF(AND($C$20="Single Family Residential",$C$19="&gt; 40 %"),
ROUND(IF(N70&lt;=0,0,IF(N70&gt;=300,1,IF(N70&gt;=200,N70*'Reference Curves'!$AB$188+'Reference Curves'!$AB$189,
N70*'Reference Curves'!$AA$188+'Reference Curves'!$AA$189))),2),                           IF(AND($C$20="Multi-Family Residential",$C$19="&lt; 5 %"),
ROUND(IF(N70&lt;=0,0,IF(N70&gt;=293,1,IF(N70&gt;=60,N70*'Reference Curves'!$V$225+'Reference Curves'!$V$226,
N70*'Reference Curves'!$U$225+'Reference Curves'!$U$226))),2),
IF(AND($C$20="Multi-Family Residential",$C$19="5 - 20 %"),
ROUND(IF(N70&lt;=0,0,IF(N70&gt;=293,1,IF(N70&gt;=120,N70*'Reference Curves'!$X$225+'Reference Curves'!$X$226,
N70*'Reference Curves'!$W$225+'Reference Curves'!$W$226))),2),
IF(AND($C$20="Multi-Family Residential",$C$19="21 - 40 %"),
ROUND(IF(N70&lt;=0,0,IF(N70&gt;=300,1,IF(N70&gt;=180,N70*'Reference Curves'!$Z$225+'Reference Curves'!$Z$226,
N70*'Reference Curves'!$Y$225+'Reference Curves'!$Y$226))),2),
IF(AND($C$20="Multi-Family Residential",$C$19="&gt; 40 %"),
ROUND(IF(N70&lt;=0,0,IF(N70&gt;=345,1,N70*'Reference Curves'!$AA$225+'Reference Curves'!$AA$226)),2),            IF(AND($C$20="Commercial / Golf Course / Agriculture / Silviculture", $C$19="&lt; 5 %"),
ROUND(IF(N70&lt;=0,0,IF(N70&gt;=300,1,IF(N70&gt;=150,N70*'Reference Curves'!$V$262+'Reference Curves'!$V$263,
N70*'Reference Curves'!$U$262+'Reference Curves'!$U$263))),2),
IF(AND($C$20="Commercial / Golf Course / Agriculture / Silviculture", $C$19="5 - 20 %"),
ROUND(IF(N70&lt;=0,0,IF(N70&gt;=300,1,IF(N70&gt;=150,N70*'Reference Curves'!$V$262+'Reference Curves'!$V$263,
N70*'Reference Curves'!$U$262+'Reference Curves'!$U$263))),2),
IF(AND($C$20="Commercial / Golf Course / Agriculture / Silviculture",$C$19="21 - 40 %"),
ROUND(IF(N70&lt;=0,0,IF(N70&gt;=322.5,1, N70*'Reference Curves'!$W$262+'Reference Curves'!$W$263)),2),
IF(AND($C$20="Commercial / Golf Course / Agriculture / Silviculture",$C$19="&gt; 40 %"),
ROUND(IF(N70&lt;=0,0,IF(N70&gt;=434.7,1,N70*'Reference Curves'!$X$262+'Reference Curves'!$X$263)),2),
                   IF(AND($C$20="Industrial / Landfill", $C$19="&lt; 5 %"),
ROUND(IF(N70&lt;=0,0,IF(N70&gt;=300,1,IF(N70&gt;=150,N70*'Reference Curves'!$V$298+'Reference Curves'!$V$299,
N70*'Reference Curves'!$U$298+'Reference Curves'!$U$299))),2),
IF(AND($C$20="Industrial / Landfill", $C$19="5 - 20 %"),
ROUND(IF(N70&lt;=0,0,IF(N70&gt;=357.1,1, N70*'Reference Curves'!$W$298+'Reference Curves'!$W$299)),2),
IF(AND($C$20="Industrial / Landfill",$C$19="21 - 40 %"),
ROUND(IF(N70&lt;=0,0,IF(N70&gt;=499.9,1, N70*'Reference Curves'!$X$298+'Reference Curves'!$X$299)),2)))))))))))))))))</f>
        <v/>
      </c>
      <c r="O101" s="164" t="str">
        <f>IF(O70="","",
IF(AND($C$20="Single Family Residential",$C$19="&lt; 5 %"),
ROUND(IF(O70&lt;=0,0,IF(O70&gt;=300,1,IF(O70&gt;=50,O70*'Reference Curves'!$V$188+'Reference Curves'!$V$189,
O70*'Reference Curves'!$U$188+'Reference Curves'!$U$189))),2),
IF(AND($C$20="Single Family Residential",$C$19="5 - 20 %"),
ROUND(IF(O70&lt;=0,0,IF(O70&gt;=300,1,IF(O70&gt;=100,O70*'Reference Curves'!$X$188+'Reference Curves'!$X$189,
O70*'Reference Curves'!$W$188+'Reference Curves'!$W$189))),2),
IF(AND($C$20="Single Family Residential",$C$19="21 - 40 %"),
ROUND(IF(O70&lt;=0,0,IF(O70&gt;=300,1,IF(O70&gt;=150,O70*'Reference Curves'!$Z$188+'Reference Curves'!$Z$189,
O70*'Reference Curves'!$Y$188+'Reference Curves'!$Y$189))),2),
IF(AND($C$20="Single Family Residential",$C$19="&gt; 40 %"),
ROUND(IF(O70&lt;=0,0,IF(O70&gt;=300,1,IF(O70&gt;=200,O70*'Reference Curves'!$AB$188+'Reference Curves'!$AB$189,
O70*'Reference Curves'!$AA$188+'Reference Curves'!$AA$189))),2),                           IF(AND($C$20="Multi-Family Residential",$C$19="&lt; 5 %"),
ROUND(IF(O70&lt;=0,0,IF(O70&gt;=293,1,IF(O70&gt;=60,O70*'Reference Curves'!$V$225+'Reference Curves'!$V$226,
O70*'Reference Curves'!$U$225+'Reference Curves'!$U$226))),2),
IF(AND($C$20="Multi-Family Residential",$C$19="5 - 20 %"),
ROUND(IF(O70&lt;=0,0,IF(O70&gt;=293,1,IF(O70&gt;=120,O70*'Reference Curves'!$X$225+'Reference Curves'!$X$226,
O70*'Reference Curves'!$W$225+'Reference Curves'!$W$226))),2),
IF(AND($C$20="Multi-Family Residential",$C$19="21 - 40 %"),
ROUND(IF(O70&lt;=0,0,IF(O70&gt;=300,1,IF(O70&gt;=180,O70*'Reference Curves'!$Z$225+'Reference Curves'!$Z$226,
O70*'Reference Curves'!$Y$225+'Reference Curves'!$Y$226))),2),
IF(AND($C$20="Multi-Family Residential",$C$19="&gt; 40 %"),
ROUND(IF(O70&lt;=0,0,IF(O70&gt;=345,1,O70*'Reference Curves'!$AA$225+'Reference Curves'!$AA$226)),2),            IF(AND($C$20="Commercial / Golf Course / Agriculture / Silviculture", $C$19="&lt; 5 %"),
ROUND(IF(O70&lt;=0,0,IF(O70&gt;=300,1,IF(O70&gt;=150,O70*'Reference Curves'!$V$262+'Reference Curves'!$V$263,
O70*'Reference Curves'!$U$262+'Reference Curves'!$U$263))),2),
IF(AND($C$20="Commercial / Golf Course / Agriculture / Silviculture", $C$19="5 - 20 %"),
ROUND(IF(O70&lt;=0,0,IF(O70&gt;=300,1,IF(O70&gt;=150,O70*'Reference Curves'!$V$262+'Reference Curves'!$V$263,
O70*'Reference Curves'!$U$262+'Reference Curves'!$U$263))),2),
IF(AND($C$20="Commercial / Golf Course / Agriculture / Silviculture",$C$19="21 - 40 %"),
ROUND(IF(O70&lt;=0,0,IF(O70&gt;=322.5,1, O70*'Reference Curves'!$W$262+'Reference Curves'!$W$263)),2),
IF(AND($C$20="Commercial / Golf Course / Agriculture / Silviculture",$C$19="&gt; 40 %"),
ROUND(IF(O70&lt;=0,0,IF(O70&gt;=434.7,1,O70*'Reference Curves'!$X$262+'Reference Curves'!$X$263)),2),
                   IF(AND($C$20="Industrial / Landfill", $C$19="&lt; 5 %"),
ROUND(IF(O70&lt;=0,0,IF(O70&gt;=300,1,IF(O70&gt;=150,O70*'Reference Curves'!$V$298+'Reference Curves'!$V$299,
O70*'Reference Curves'!$U$298+'Reference Curves'!$U$299))),2),
IF(AND($C$20="Industrial / Landfill", $C$19="5 - 20 %"),
ROUND(IF(O70&lt;=0,0,IF(O70&gt;=357.1,1, O70*'Reference Curves'!$W$298+'Reference Curves'!$W$299)),2),
IF(AND($C$20="Industrial / Landfill",$C$19="21 - 40 %"),
ROUND(IF(O70&lt;=0,0,IF(O70&gt;=499.9,1, O70*'Reference Curves'!$X$298+'Reference Curves'!$X$299)),2)))))))))))))))))</f>
        <v/>
      </c>
    </row>
    <row r="102" spans="1:15" ht="15.75" x14ac:dyDescent="0.5">
      <c r="A102" s="557"/>
      <c r="B102" s="557"/>
      <c r="C102" s="34" t="s">
        <v>155</v>
      </c>
      <c r="D102" s="31"/>
      <c r="E102" s="164" t="str">
        <f>IF(E71="","",ROUND(IF(E71&gt;=9.3,1,E71*'Reference Curves'!$U$329+'Reference Curves'!$U$330),2))</f>
        <v/>
      </c>
      <c r="F102" s="164" t="str">
        <f>IF(F71="","",ROUND(IF(F71&gt;=9.3,1,F71*'Reference Curves'!$U$329+'Reference Curves'!$U$330),2))</f>
        <v/>
      </c>
      <c r="G102" s="164" t="str">
        <f>IF(G71="","",ROUND(IF(G71&gt;=9.3,1,G71*'Reference Curves'!$U$329+'Reference Curves'!$U$330),2))</f>
        <v/>
      </c>
      <c r="H102" s="164" t="str">
        <f>IF(H71="","",ROUND(IF(H71&gt;=9.3,1,H71*'Reference Curves'!$U$329+'Reference Curves'!$U$330),2))</f>
        <v/>
      </c>
      <c r="I102" s="164" t="str">
        <f>IF(I71="","",ROUND(IF(I71&gt;=9.3,1,I71*'Reference Curves'!$U$329+'Reference Curves'!$U$330),2))</f>
        <v/>
      </c>
      <c r="J102" s="164" t="str">
        <f>IF(J71="","",ROUND(IF(J71&gt;=9.3,1,J71*'Reference Curves'!$U$329+'Reference Curves'!$U$330),2))</f>
        <v/>
      </c>
      <c r="K102" s="164" t="str">
        <f>IF(K71="","",ROUND(IF(K71&gt;=9.3,1,K71*'Reference Curves'!$U$329+'Reference Curves'!$U$330),2))</f>
        <v/>
      </c>
      <c r="L102" s="164" t="str">
        <f>IF(L71="","",ROUND(IF(L71&gt;=9.3,1,L71*'Reference Curves'!$U$329+'Reference Curves'!$U$330),2))</f>
        <v/>
      </c>
      <c r="M102" s="164" t="str">
        <f>IF(M71="","",ROUND(IF(M71&gt;=9.3,1,M71*'Reference Curves'!$U$329+'Reference Curves'!$U$330),2))</f>
        <v/>
      </c>
      <c r="N102" s="164" t="str">
        <f>IF(N71="","",ROUND(IF(N71&gt;=9.3,1,N71*'Reference Curves'!$U$329+'Reference Curves'!$U$330),2))</f>
        <v/>
      </c>
      <c r="O102" s="164" t="str">
        <f>IF(O71="","",ROUND(IF(O71&gt;=9.3,1,O71*'Reference Curves'!$U$329+'Reference Curves'!$U$330),2))</f>
        <v/>
      </c>
    </row>
    <row r="103" spans="1:15" ht="15.75" x14ac:dyDescent="0.5">
      <c r="A103" s="557"/>
      <c r="B103" s="557"/>
      <c r="C103" s="34" t="s">
        <v>156</v>
      </c>
      <c r="D103" s="31"/>
      <c r="E103" s="164" t="str">
        <f>IF(E72="","",ROUND(IF(AND(E72&gt;=135,E72&lt;=262),1,IF(E72&gt;=366,0.5,IF(E72&lt;135,E72*'Reference Curves'!$U$362+'Reference Curves'!$U$363,E72*'Reference Curves'!$V$362+'Reference Curves'!$V$363))),2))</f>
        <v/>
      </c>
      <c r="F103" s="164" t="str">
        <f>IF(F72="","",ROUND(IF(AND(F72&gt;=135,F72&lt;=262),1,IF(F72&gt;=366,0.5,IF(F72&lt;135,F72*'Reference Curves'!$U$362+'Reference Curves'!$U$363,F72*'Reference Curves'!$V$362+'Reference Curves'!$V$363))),2))</f>
        <v/>
      </c>
      <c r="G103" s="164" t="str">
        <f>IF(G72="","",ROUND(IF(AND(G72&gt;=135,G72&lt;=262),1,IF(G72&gt;=366,0.5,IF(G72&lt;135,G72*'Reference Curves'!$U$362+'Reference Curves'!$U$363,G72*'Reference Curves'!$V$362+'Reference Curves'!$V$363))),2))</f>
        <v/>
      </c>
      <c r="H103" s="164" t="str">
        <f>IF(H72="","",ROUND(IF(AND(H72&gt;=135,H72&lt;=262),1,IF(H72&gt;=366,0.5,IF(H72&lt;135,H72*'Reference Curves'!$U$362+'Reference Curves'!$U$363,H72*'Reference Curves'!$V$362+'Reference Curves'!$V$363))),2))</f>
        <v/>
      </c>
      <c r="I103" s="164" t="str">
        <f>IF(I72="","",ROUND(IF(AND(I72&gt;=135,I72&lt;=262),1,IF(I72&gt;=366,0.5,IF(I72&lt;135,I72*'Reference Curves'!$U$362+'Reference Curves'!$U$363,I72*'Reference Curves'!$V$362+'Reference Curves'!$V$363))),2))</f>
        <v/>
      </c>
      <c r="J103" s="164" t="str">
        <f>IF(J72="","",ROUND(IF(AND(J72&gt;=135,J72&lt;=262),1,IF(J72&gt;=366,0.5,IF(J72&lt;135,J72*'Reference Curves'!$U$362+'Reference Curves'!$U$363,J72*'Reference Curves'!$V$362+'Reference Curves'!$V$363))),2))</f>
        <v/>
      </c>
      <c r="K103" s="164" t="str">
        <f>IF(K72="","",ROUND(IF(AND(K72&gt;=135,K72&lt;=262),1,IF(K72&gt;=366,0.5,IF(K72&lt;135,K72*'Reference Curves'!$U$362+'Reference Curves'!$U$363,K72*'Reference Curves'!$V$362+'Reference Curves'!$V$363))),2))</f>
        <v/>
      </c>
      <c r="L103" s="164" t="str">
        <f>IF(L72="","",ROUND(IF(AND(L72&gt;=135,L72&lt;=262),1,IF(L72&gt;=366,0.5,IF(L72&lt;135,L72*'Reference Curves'!$U$362+'Reference Curves'!$U$363,L72*'Reference Curves'!$V$362+'Reference Curves'!$V$363))),2))</f>
        <v/>
      </c>
      <c r="M103" s="164" t="str">
        <f>IF(M72="","",ROUND(IF(AND(M72&gt;=135,M72&lt;=262),1,IF(M72&gt;=366,0.5,IF(M72&lt;135,M72*'Reference Curves'!$U$362+'Reference Curves'!$U$363,M72*'Reference Curves'!$V$362+'Reference Curves'!$V$363))),2))</f>
        <v/>
      </c>
      <c r="N103" s="164" t="str">
        <f>IF(N72="","",ROUND(IF(AND(N72&gt;=135,N72&lt;=262),1,IF(N72&gt;=366,0.5,IF(N72&lt;135,N72*'Reference Curves'!$U$362+'Reference Curves'!$U$363,N72*'Reference Curves'!$V$362+'Reference Curves'!$V$363))),2))</f>
        <v/>
      </c>
      <c r="O103" s="164" t="str">
        <f>IF(O72="","",ROUND(IF(AND(O72&gt;=135,O72&lt;=262),1,IF(O72&gt;=366,0.5,IF(O72&lt;135,O72*'Reference Curves'!$U$362+'Reference Curves'!$U$363,O72*'Reference Curves'!$V$362+'Reference Curves'!$V$363))),2))</f>
        <v/>
      </c>
    </row>
    <row r="104" spans="1:15" ht="15.75" x14ac:dyDescent="0.5">
      <c r="A104" s="557"/>
      <c r="B104" s="557"/>
      <c r="C104" s="34" t="s">
        <v>187</v>
      </c>
      <c r="D104" s="31"/>
      <c r="E104" s="164" t="str">
        <f>IF(E73="","",  IF($C$21="&lt; 20 %",ROUND(IF(E73&gt;=566,1,E73*'Reference Curves'!$U$397+'Reference Curves'!$U$398),2)))</f>
        <v/>
      </c>
      <c r="F104" s="164" t="str">
        <f>IF(F73="","",  IF($C$21="&lt; 20 %",ROUND(IF(F73&gt;=566,1,F73*'Reference Curves'!$U$397+'Reference Curves'!$U$398),2)))</f>
        <v/>
      </c>
      <c r="G104" s="164" t="str">
        <f>IF(G73="","",  IF($C$21="&lt; 20 %",ROUND(IF(G73&gt;=566,1,G73*'Reference Curves'!$U$397+'Reference Curves'!$U$398),2)))</f>
        <v/>
      </c>
      <c r="H104" s="164" t="str">
        <f>IF(H73="","",  IF($C$21="&lt; 20 %",ROUND(IF(H73&gt;=566,1,H73*'Reference Curves'!$U$397+'Reference Curves'!$U$398),2)))</f>
        <v/>
      </c>
      <c r="I104" s="164" t="str">
        <f>IF(I73="","",  IF($C$21="&lt; 20 %",ROUND(IF(I73&gt;=566,1,I73*'Reference Curves'!$U$397+'Reference Curves'!$U$398),2)))</f>
        <v/>
      </c>
      <c r="J104" s="164" t="str">
        <f>IF(J73="","",  IF($C$21="&lt; 20 %",ROUND(IF(J73&gt;=566,1,J73*'Reference Curves'!$U$397+'Reference Curves'!$U$398),2)))</f>
        <v/>
      </c>
      <c r="K104" s="164" t="str">
        <f>IF(K73="","",  IF($C$21="&lt; 20 %",ROUND(IF(K73&gt;=566,1,K73*'Reference Curves'!$U$397+'Reference Curves'!$U$398),2)))</f>
        <v/>
      </c>
      <c r="L104" s="164" t="str">
        <f>IF(L73="","",  IF($C$21="&lt; 20 %",ROUND(IF(L73&gt;=566,1,L73*'Reference Curves'!$U$397+'Reference Curves'!$U$398),2)))</f>
        <v/>
      </c>
      <c r="M104" s="164" t="str">
        <f>IF(M73="","",  IF($C$21="&lt; 20 %",ROUND(IF(M73&gt;=566,1,M73*'Reference Curves'!$U$397+'Reference Curves'!$U$398),2)))</f>
        <v/>
      </c>
      <c r="N104" s="164" t="str">
        <f>IF(N73="","",  IF($C$21="&lt; 20 %",ROUND(IF(N73&gt;=566,1,N73*'Reference Curves'!$U$397+'Reference Curves'!$U$398),2)))</f>
        <v/>
      </c>
      <c r="O104" s="164" t="str">
        <f>IF(O73="","",  IF($C$21="&lt; 20 %",ROUND(IF(O73&gt;=566,1,O73*'Reference Curves'!$U$397+'Reference Curves'!$U$398),2)))</f>
        <v/>
      </c>
    </row>
    <row r="105" spans="1:15" ht="15.75" x14ac:dyDescent="0.5">
      <c r="A105" s="557"/>
      <c r="B105" s="557"/>
      <c r="C105" s="34" t="s">
        <v>188</v>
      </c>
      <c r="D105" s="31"/>
      <c r="E105" s="164" t="str">
        <f>IF(E74="","",ROUND(IF(E74&gt;=75,1,E74*'Reference Curves'!$U$432+'Reference Curves'!$U$433),2))</f>
        <v/>
      </c>
      <c r="F105" s="164" t="str">
        <f>IF(F74="","",ROUND(IF(F74&gt;=75,1,F74*'Reference Curves'!$U$432+'Reference Curves'!$U$433),2))</f>
        <v/>
      </c>
      <c r="G105" s="164" t="str">
        <f>IF(G74="","",ROUND(IF(G74&gt;=75,1,G74*'Reference Curves'!$U$432+'Reference Curves'!$U$433),2))</f>
        <v/>
      </c>
      <c r="H105" s="164" t="str">
        <f>IF(H74="","",ROUND(IF(H74&gt;=75,1,H74*'Reference Curves'!$U$432+'Reference Curves'!$U$433),2))</f>
        <v/>
      </c>
      <c r="I105" s="164" t="str">
        <f>IF(I74="","",ROUND(IF(I74&gt;=75,1,I74*'Reference Curves'!$U$432+'Reference Curves'!$U$433),2))</f>
        <v/>
      </c>
      <c r="J105" s="164" t="str">
        <f>IF(J74="","",ROUND(IF(J74&gt;=75,1,J74*'Reference Curves'!$U$432+'Reference Curves'!$U$433),2))</f>
        <v/>
      </c>
      <c r="K105" s="164" t="str">
        <f>IF(K74="","",ROUND(IF(K74&gt;=75,1,K74*'Reference Curves'!$U$432+'Reference Curves'!$U$433),2))</f>
        <v/>
      </c>
      <c r="L105" s="164" t="str">
        <f>IF(L74="","",ROUND(IF(L74&gt;=75,1,L74*'Reference Curves'!$U$432+'Reference Curves'!$U$433),2))</f>
        <v/>
      </c>
      <c r="M105" s="164" t="str">
        <f>IF(M74="","",ROUND(IF(M74&gt;=75,1,M74*'Reference Curves'!$U$432+'Reference Curves'!$U$433),2))</f>
        <v/>
      </c>
      <c r="N105" s="164" t="str">
        <f>IF(N74="","",ROUND(IF(N74&gt;=75,1,N74*'Reference Curves'!$U$432+'Reference Curves'!$U$433),2))</f>
        <v/>
      </c>
      <c r="O105" s="164" t="str">
        <f>IF(O74="","",ROUND(IF(O74&gt;=75,1,O74*'Reference Curves'!$U$432+'Reference Curves'!$U$433),2))</f>
        <v/>
      </c>
    </row>
    <row r="106" spans="1:15" ht="15.75" x14ac:dyDescent="0.5">
      <c r="A106" s="557"/>
      <c r="B106" s="558"/>
      <c r="C106" s="31" t="s">
        <v>331</v>
      </c>
      <c r="D106" s="31"/>
      <c r="E106" s="163" t="str">
        <f>IF(E75="","",IF(E75&gt;=100,0,ROUND(IF(E75&lt;=0,1,E75*'Reference Curves'!$U$467+'Reference Curves'!$U$468),2)))</f>
        <v/>
      </c>
      <c r="F106" s="163" t="str">
        <f>IF(F75="","",IF(F75&gt;=100,0,ROUND(IF(F75&lt;=0,1,F75*'Reference Curves'!$U$467+'Reference Curves'!$U$468),2)))</f>
        <v/>
      </c>
      <c r="G106" s="163" t="str">
        <f>IF(G75="","",IF(G75&gt;=100,0,ROUND(IF(G75&lt;=0,1,G75*'Reference Curves'!$U$467+'Reference Curves'!$U$468),2)))</f>
        <v/>
      </c>
      <c r="H106" s="163" t="str">
        <f>IF(H75="","",IF(H75&gt;=100,0,ROUND(IF(H75&lt;=0,1,H75*'Reference Curves'!$U$467+'Reference Curves'!$U$468),2)))</f>
        <v/>
      </c>
      <c r="I106" s="163" t="str">
        <f>IF(I75="","",IF(I75&gt;=100,0,ROUND(IF(I75&lt;=0,1,I75*'Reference Curves'!$U$467+'Reference Curves'!$U$468),2)))</f>
        <v/>
      </c>
      <c r="J106" s="163" t="str">
        <f>IF(J75="","",IF(J75&gt;=100,0,ROUND(IF(J75&lt;=0,1,J75*'Reference Curves'!$U$467+'Reference Curves'!$U$468),2)))</f>
        <v/>
      </c>
      <c r="K106" s="163" t="str">
        <f>IF(K75="","",IF(K75&gt;=100,0,ROUND(IF(K75&lt;=0,1,K75*'Reference Curves'!$U$467+'Reference Curves'!$U$468),2)))</f>
        <v/>
      </c>
      <c r="L106" s="163" t="str">
        <f>IF(L75="","",IF(L75&gt;=100,0,ROUND(IF(L75&lt;=0,1,L75*'Reference Curves'!$U$467+'Reference Curves'!$U$468),2)))</f>
        <v/>
      </c>
      <c r="M106" s="163" t="str">
        <f>IF(M75="","",IF(M75&gt;=100,0,ROUND(IF(M75&lt;=0,1,M75*'Reference Curves'!$U$467+'Reference Curves'!$U$468),2)))</f>
        <v/>
      </c>
      <c r="N106" s="163" t="str">
        <f>IF(N75="","",IF(N75&gt;=100,0,ROUND(IF(N75&lt;=0,1,N75*'Reference Curves'!$U$467+'Reference Curves'!$U$468),2)))</f>
        <v/>
      </c>
      <c r="O106" s="163" t="str">
        <f>IF(O75="","",IF(O75&gt;=100,0,ROUND(IF(O75&lt;=0,1,O75*'Reference Curves'!$U$467+'Reference Curves'!$U$468),2)))</f>
        <v/>
      </c>
    </row>
    <row r="107" spans="1:15" ht="15.75" x14ac:dyDescent="0.5">
      <c r="A107" s="557"/>
      <c r="B107" s="556" t="s">
        <v>45</v>
      </c>
      <c r="C107" s="36" t="s">
        <v>356</v>
      </c>
      <c r="D107" s="36"/>
      <c r="E107" s="162" t="str">
        <f>IF(E77="","",
IF($C$12="Bc", ROUND(IF(E77&lt;=5,1,
IF(E77&gt;=8,0,
IF(E77&lt;6,E77*'Reference Curves'!$U$535+'Reference Curves'!$U$536,E77*'Reference Curves'!$V$535+'Reference Curves'!$V$536))),2),       IF(OR(LEFT($C$12,1)="B",LEFT($C$12,1)="A"),
ROUND(IF(E77&lt;=4,1,
IF(E77&gt;=6.5,0,
IF(E77&lt;5,E77*'Reference Curves'!$U$502+'Reference Curves'!$U$503, E77*'Reference Curves'!$V$502+'Reference Curves'!$V$503))),2),   IF(OR(LEFT($C$12,1)="E",LEFT($C$12,1)="C"),
ROUND(IF(OR(E77&gt;=9,E77&lt;=1),0,
IF(AND(E77&gt;=3.5,E77&lt;=6),1,
IF(E77&lt;3.5,E77*'Reference Curves'!$U$568+'Reference Curves'!$U$569,
E77*'Reference Curves'!$V$568+'Reference Curves'!$V$569))),2)))))</f>
        <v/>
      </c>
      <c r="F107" s="162" t="str">
        <f>IF(F77="","",
IF($C$12="Bc", ROUND(IF(F77&lt;=5,1,
IF(F77&gt;=8,0,
IF(F77&lt;6,F77*'Reference Curves'!$U$535+'Reference Curves'!$U$536,F77*'Reference Curves'!$V$535+'Reference Curves'!$V$536))),2),       IF(OR(LEFT($C$12,1)="B",LEFT($C$12,1)="A"),
ROUND(IF(F77&lt;=4,1,
IF(F77&gt;=6.5,0,
IF(F77&lt;5,F77*'Reference Curves'!$U$502+'Reference Curves'!$U$503, F77*'Reference Curves'!$V$502+'Reference Curves'!$V$503))),2),   IF(OR(LEFT($C$12,1)="E",LEFT($C$12,1)="C"),
ROUND(IF(OR(F77&gt;=9,F77&lt;=1),0,
IF(AND(F77&gt;=3.5,F77&lt;=6),1,
IF(F77&lt;3.5,F77*'Reference Curves'!$U$568+'Reference Curves'!$U$569,
F77*'Reference Curves'!$V$568+'Reference Curves'!$V$569))),2)))))</f>
        <v/>
      </c>
      <c r="G107" s="162" t="str">
        <f>IF(G77="","",
IF($C$12="Bc", ROUND(IF(G77&lt;=5,1,
IF(G77&gt;=8,0,
IF(G77&lt;6,G77*'Reference Curves'!$U$535+'Reference Curves'!$U$536,G77*'Reference Curves'!$V$535+'Reference Curves'!$V$536))),2),       IF(OR(LEFT($C$12,1)="B",LEFT($C$12,1)="A"),
ROUND(IF(G77&lt;=4,1,
IF(G77&gt;=6.5,0,
IF(G77&lt;5,G77*'Reference Curves'!$U$502+'Reference Curves'!$U$503, G77*'Reference Curves'!$V$502+'Reference Curves'!$V$503))),2),   IF(OR(LEFT($C$12,1)="E",LEFT($C$12,1)="C"),
ROUND(IF(OR(G77&gt;=9,G77&lt;=1),0,
IF(AND(G77&gt;=3.5,G77&lt;=6),1,
IF(G77&lt;3.5,G77*'Reference Curves'!$U$568+'Reference Curves'!$U$569,
G77*'Reference Curves'!$V$568+'Reference Curves'!$V$569))),2)))))</f>
        <v/>
      </c>
      <c r="H107" s="162" t="str">
        <f>IF(H77="","",
IF($C$12="Bc", ROUND(IF(H77&lt;=5,1,
IF(H77&gt;=8,0,
IF(H77&lt;6,H77*'Reference Curves'!$U$535+'Reference Curves'!$U$536,H77*'Reference Curves'!$V$535+'Reference Curves'!$V$536))),2),       IF(OR(LEFT($C$12,1)="B",LEFT($C$12,1)="A"),
ROUND(IF(H77&lt;=4,1,
IF(H77&gt;=6.5,0,
IF(H77&lt;5,H77*'Reference Curves'!$U$502+'Reference Curves'!$U$503, H77*'Reference Curves'!$V$502+'Reference Curves'!$V$503))),2),   IF(OR(LEFT($C$12,1)="E",LEFT($C$12,1)="C"),
ROUND(IF(OR(H77&gt;=9,H77&lt;=1),0,
IF(AND(H77&gt;=3.5,H77&lt;=6),1,
IF(H77&lt;3.5,H77*'Reference Curves'!$U$568+'Reference Curves'!$U$569,
H77*'Reference Curves'!$V$568+'Reference Curves'!$V$569))),2)))))</f>
        <v/>
      </c>
      <c r="I107" s="162" t="str">
        <f>IF(I77="","",
IF($C$12="Bc", ROUND(IF(I77&lt;=5,1,
IF(I77&gt;=8,0,
IF(I77&lt;6,I77*'Reference Curves'!$U$535+'Reference Curves'!$U$536,I77*'Reference Curves'!$V$535+'Reference Curves'!$V$536))),2),       IF(OR(LEFT($C$12,1)="B",LEFT($C$12,1)="A"),
ROUND(IF(I77&lt;=4,1,
IF(I77&gt;=6.5,0,
IF(I77&lt;5,I77*'Reference Curves'!$U$502+'Reference Curves'!$U$503, I77*'Reference Curves'!$V$502+'Reference Curves'!$V$503))),2),   IF(OR(LEFT($C$12,1)="E",LEFT($C$12,1)="C"),
ROUND(IF(OR(I77&gt;=9,I77&lt;=1),0,
IF(AND(I77&gt;=3.5,I77&lt;=6),1,
IF(I77&lt;3.5,I77*'Reference Curves'!$U$568+'Reference Curves'!$U$569,
I77*'Reference Curves'!$V$568+'Reference Curves'!$V$569))),2)))))</f>
        <v/>
      </c>
      <c r="J107" s="162" t="str">
        <f>IF(J77="","",
IF($C$12="Bc", ROUND(IF(J77&lt;=5,1,
IF(J77&gt;=8,0,
IF(J77&lt;6,J77*'Reference Curves'!$U$535+'Reference Curves'!$U$536,J77*'Reference Curves'!$V$535+'Reference Curves'!$V$536))),2),       IF(OR(LEFT($C$12,1)="B",LEFT($C$12,1)="A"),
ROUND(IF(J77&lt;=4,1,
IF(J77&gt;=6.5,0,
IF(J77&lt;5,J77*'Reference Curves'!$U$502+'Reference Curves'!$U$503, J77*'Reference Curves'!$V$502+'Reference Curves'!$V$503))),2),   IF(OR(LEFT($C$12,1)="E",LEFT($C$12,1)="C"),
ROUND(IF(OR(J77&gt;=9,J77&lt;=1),0,
IF(AND(J77&gt;=3.5,J77&lt;=6),1,
IF(J77&lt;3.5,J77*'Reference Curves'!$U$568+'Reference Curves'!$U$569,
J77*'Reference Curves'!$V$568+'Reference Curves'!$V$569))),2)))))</f>
        <v/>
      </c>
      <c r="K107" s="162" t="str">
        <f>IF(K77="","",
IF($C$12="Bc", ROUND(IF(K77&lt;=5,1,
IF(K77&gt;=8,0,
IF(K77&lt;6,K77*'Reference Curves'!$U$535+'Reference Curves'!$U$536,K77*'Reference Curves'!$V$535+'Reference Curves'!$V$536))),2),       IF(OR(LEFT($C$12,1)="B",LEFT($C$12,1)="A"),
ROUND(IF(K77&lt;=4,1,
IF(K77&gt;=6.5,0,
IF(K77&lt;5,K77*'Reference Curves'!$U$502+'Reference Curves'!$U$503, K77*'Reference Curves'!$V$502+'Reference Curves'!$V$503))),2),   IF(OR(LEFT($C$12,1)="E",LEFT($C$12,1)="C"),
ROUND(IF(OR(K77&gt;=9,K77&lt;=1),0,
IF(AND(K77&gt;=3.5,K77&lt;=6),1,
IF(K77&lt;3.5,K77*'Reference Curves'!$U$568+'Reference Curves'!$U$569,
K77*'Reference Curves'!$V$568+'Reference Curves'!$V$569))),2)))))</f>
        <v/>
      </c>
      <c r="L107" s="162" t="str">
        <f>IF(L77="","",
IF($C$12="Bc", ROUND(IF(L77&lt;=5,1,
IF(L77&gt;=8,0,
IF(L77&lt;6,L77*'Reference Curves'!$U$535+'Reference Curves'!$U$536,L77*'Reference Curves'!$V$535+'Reference Curves'!$V$536))),2),       IF(OR(LEFT($C$12,1)="B",LEFT($C$12,1)="A"),
ROUND(IF(L77&lt;=4,1,
IF(L77&gt;=6.5,0,
IF(L77&lt;5,L77*'Reference Curves'!$U$502+'Reference Curves'!$U$503, L77*'Reference Curves'!$V$502+'Reference Curves'!$V$503))),2),   IF(OR(LEFT($C$12,1)="E",LEFT($C$12,1)="C"),
ROUND(IF(OR(L77&gt;=9,L77&lt;=1),0,
IF(AND(L77&gt;=3.5,L77&lt;=6),1,
IF(L77&lt;3.5,L77*'Reference Curves'!$U$568+'Reference Curves'!$U$569,
L77*'Reference Curves'!$V$568+'Reference Curves'!$V$569))),2)))))</f>
        <v/>
      </c>
      <c r="M107" s="162" t="str">
        <f>IF(M77="","",
IF($C$12="Bc", ROUND(IF(M77&lt;=5,1,
IF(M77&gt;=8,0,
IF(M77&lt;6,M77*'Reference Curves'!$U$535+'Reference Curves'!$U$536,M77*'Reference Curves'!$V$535+'Reference Curves'!$V$536))),2),       IF(OR(LEFT($C$12,1)="B",LEFT($C$12,1)="A"),
ROUND(IF(M77&lt;=4,1,
IF(M77&gt;=6.5,0,
IF(M77&lt;5,M77*'Reference Curves'!$U$502+'Reference Curves'!$U$503, M77*'Reference Curves'!$V$502+'Reference Curves'!$V$503))),2),   IF(OR(LEFT($C$12,1)="E",LEFT($C$12,1)="C"),
ROUND(IF(OR(M77&gt;=9,M77&lt;=1),0,
IF(AND(M77&gt;=3.5,M77&lt;=6),1,
IF(M77&lt;3.5,M77*'Reference Curves'!$U$568+'Reference Curves'!$U$569,
M77*'Reference Curves'!$V$568+'Reference Curves'!$V$569))),2)))))</f>
        <v/>
      </c>
      <c r="N107" s="162" t="str">
        <f>IF(N77="","",
IF($C$12="Bc", ROUND(IF(N77&lt;=5,1,
IF(N77&gt;=8,0,
IF(N77&lt;6,N77*'Reference Curves'!$U$535+'Reference Curves'!$U$536,N77*'Reference Curves'!$V$535+'Reference Curves'!$V$536))),2),       IF(OR(LEFT($C$12,1)="B",LEFT($C$12,1)="A"),
ROUND(IF(N77&lt;=4,1,
IF(N77&gt;=6.5,0,
IF(N77&lt;5,N77*'Reference Curves'!$U$502+'Reference Curves'!$U$503, N77*'Reference Curves'!$V$502+'Reference Curves'!$V$503))),2),   IF(OR(LEFT($C$12,1)="E",LEFT($C$12,1)="C"),
ROUND(IF(OR(N77&gt;=9,N77&lt;=1),0,
IF(AND(N77&gt;=3.5,N77&lt;=6),1,
IF(N77&lt;3.5,N77*'Reference Curves'!$U$568+'Reference Curves'!$U$569,
N77*'Reference Curves'!$V$568+'Reference Curves'!$V$569))),2)))))</f>
        <v/>
      </c>
      <c r="O107" s="162" t="str">
        <f>IF(O77="","",
IF($C$12="Bc", ROUND(IF(O77&lt;=5,1,
IF(O77&gt;=8,0,
IF(O77&lt;6,O77*'Reference Curves'!$U$535+'Reference Curves'!$U$536,O77*'Reference Curves'!$V$535+'Reference Curves'!$V$536))),2),       IF(OR(LEFT($C$12,1)="B",LEFT($C$12,1)="A"),
ROUND(IF(O77&lt;=4,1,
IF(O77&gt;=6.5,0,
IF(O77&lt;5,O77*'Reference Curves'!$U$502+'Reference Curves'!$U$503, O77*'Reference Curves'!$V$502+'Reference Curves'!$V$503))),2),   IF(OR(LEFT($C$12,1)="E",LEFT($C$12,1)="C"),
ROUND(IF(OR(O77&gt;=9,O77&lt;=1),0,
IF(AND(O77&gt;=3.5,O77&lt;=6),1,
IF(O77&lt;3.5,O77*'Reference Curves'!$U$568+'Reference Curves'!$U$569,
O77*'Reference Curves'!$V$568+'Reference Curves'!$V$569))),2)))))</f>
        <v/>
      </c>
    </row>
    <row r="108" spans="1:15" ht="15.75" x14ac:dyDescent="0.5">
      <c r="A108" s="557"/>
      <c r="B108" s="557"/>
      <c r="C108" s="31" t="s">
        <v>357</v>
      </c>
      <c r="D108" s="31"/>
      <c r="E108" s="164" t="str">
        <f>IF(E78="","",IF(LEFT($C$12,1)="A",
IF(E78&gt;=1.7,1,
IF(E78&lt;=1,0,
ROUND(IF(E78&lt;=1.1,E78*'Reference Curves'!$U$602+'Reference Curves'!$U$603,
(IF(E78&gt;=1.4,E78*'Reference Curves'!$W$602+'Reference Curves'!$W$603,
E78*'Reference Curves'!$V$602+'Reference Curves'!$V$603))),2))),            IF(LEFT($C$12,1)="B",
IF(E78&gt;=2.9,1,
IF(E78&lt;=1,0,
ROUND(IF(E78&lt;=2,E78*'Reference Curves'!$U$635+'Reference Curves'!$U$636,
(IF(E78&gt;=2.3,E78*'Reference Curves'!$W$635+'Reference Curves'!$W$636,
E78*'Reference Curves'!$V$635+'Reference Curves'!$V$636))),2))),     IF(LEFT($C$12,1)="C",
IF(E78&gt;=2.3,1,
IF(E78&lt;=1,0,
ROUND(IF(E78&lt;=1.2,E78*'Reference Curves'!$U$668+'Reference Curves'!$U$669,
IF(E78&gt;=1.9, E78*'Reference Curves'!$W$668+'Reference Curves'!$W$669,
E78*'Reference Curves'!$V$668+ 'Reference Curves'!$V$669)),2))),          IF(LEFT($C$12,1)="E",
IF(E78&gt;=2.1,1,
IF(E78&lt;=1,0,
ROUND(IF(E78&gt;=1.7, E78*'Reference Curves'!$W$701+'Reference Curves'!$W$702, IF(E78&lt;=1.4,
E78*'Reference Curves'!$U$701+'Reference Curves'!$U$702,E78*'Reference Curves'!$V$701+'Reference Curves'!$V$702)),2))))))))</f>
        <v/>
      </c>
      <c r="F108" s="164" t="str">
        <f>IF(F78="","",IF(LEFT($C$12,1)="A",
IF(F78&gt;=1.7,1,
IF(F78&lt;=1,0,
ROUND(IF(F78&lt;=1.1,F78*'Reference Curves'!$U$602+'Reference Curves'!$U$603,
(IF(F78&gt;=1.4,F78*'Reference Curves'!$W$602+'Reference Curves'!$W$603,
F78*'Reference Curves'!$V$602+'Reference Curves'!$V$603))),2))),            IF(LEFT($C$12,1)="B",
IF(F78&gt;=2.9,1,
IF(F78&lt;=1,0,
ROUND(IF(F78&lt;=2,F78*'Reference Curves'!$U$635+'Reference Curves'!$U$636,
(IF(F78&gt;=2.3,F78*'Reference Curves'!$W$635+'Reference Curves'!$W$636,
F78*'Reference Curves'!$V$635+'Reference Curves'!$V$636))),2))),     IF(LEFT($C$12,1)="C",
IF(F78&gt;=2.3,1,
IF(F78&lt;=1,0,
ROUND(IF(F78&lt;=1.2,F78*'Reference Curves'!$U$668+'Reference Curves'!$U$669,
IF(F78&gt;=1.9, F78*'Reference Curves'!$W$668+'Reference Curves'!$W$669,
F78*'Reference Curves'!$V$668+ 'Reference Curves'!$V$669)),2))),          IF(LEFT($C$12,1)="E",
IF(F78&gt;=2.1,1,
IF(F78&lt;=1,0,
ROUND(IF(F78&gt;=1.7, F78*'Reference Curves'!$W$701+'Reference Curves'!$W$702, IF(F78&lt;=1.4,
F78*'Reference Curves'!$U$701+'Reference Curves'!$U$702,F78*'Reference Curves'!$V$701+'Reference Curves'!$V$702)),2))))))))</f>
        <v/>
      </c>
      <c r="G108" s="164" t="str">
        <f>IF(G78="","",IF(LEFT($C$12,1)="A",
IF(G78&gt;=1.7,1,
IF(G78&lt;=1,0,
ROUND(IF(G78&lt;=1.1,G78*'Reference Curves'!$U$602+'Reference Curves'!$U$603,
(IF(G78&gt;=1.4,G78*'Reference Curves'!$W$602+'Reference Curves'!$W$603,
G78*'Reference Curves'!$V$602+'Reference Curves'!$V$603))),2))),            IF(LEFT($C$12,1)="B",
IF(G78&gt;=2.9,1,
IF(G78&lt;=1,0,
ROUND(IF(G78&lt;=2,G78*'Reference Curves'!$U$635+'Reference Curves'!$U$636,
(IF(G78&gt;=2.3,G78*'Reference Curves'!$W$635+'Reference Curves'!$W$636,
G78*'Reference Curves'!$V$635+'Reference Curves'!$V$636))),2))),     IF(LEFT($C$12,1)="C",
IF(G78&gt;=2.3,1,
IF(G78&lt;=1,0,
ROUND(IF(G78&lt;=1.2,G78*'Reference Curves'!$U$668+'Reference Curves'!$U$669,
IF(G78&gt;=1.9, G78*'Reference Curves'!$W$668+'Reference Curves'!$W$669,
G78*'Reference Curves'!$V$668+ 'Reference Curves'!$V$669)),2))),          IF(LEFT($C$12,1)="E",
IF(G78&gt;=2.1,1,
IF(G78&lt;=1,0,
ROUND(IF(G78&gt;=1.7, G78*'Reference Curves'!$W$701+'Reference Curves'!$W$702, IF(G78&lt;=1.4,
G78*'Reference Curves'!$U$701+'Reference Curves'!$U$702,G78*'Reference Curves'!$V$701+'Reference Curves'!$V$702)),2))))))))</f>
        <v/>
      </c>
      <c r="H108" s="164" t="str">
        <f>IF(H78="","",IF(LEFT($C$12,1)="A",
IF(H78&gt;=1.7,1,
IF(H78&lt;=1,0,
ROUND(IF(H78&lt;=1.1,H78*'Reference Curves'!$U$602+'Reference Curves'!$U$603,
(IF(H78&gt;=1.4,H78*'Reference Curves'!$W$602+'Reference Curves'!$W$603,
H78*'Reference Curves'!$V$602+'Reference Curves'!$V$603))),2))),            IF(LEFT($C$12,1)="B",
IF(H78&gt;=2.9,1,
IF(H78&lt;=1,0,
ROUND(IF(H78&lt;=2,H78*'Reference Curves'!$U$635+'Reference Curves'!$U$636,
(IF(H78&gt;=2.3,H78*'Reference Curves'!$W$635+'Reference Curves'!$W$636,
H78*'Reference Curves'!$V$635+'Reference Curves'!$V$636))),2))),     IF(LEFT($C$12,1)="C",
IF(H78&gt;=2.3,1,
IF(H78&lt;=1,0,
ROUND(IF(H78&lt;=1.2,H78*'Reference Curves'!$U$668+'Reference Curves'!$U$669,
IF(H78&gt;=1.9, H78*'Reference Curves'!$W$668+'Reference Curves'!$W$669,
H78*'Reference Curves'!$V$668+ 'Reference Curves'!$V$669)),2))),          IF(LEFT($C$12,1)="E",
IF(H78&gt;=2.1,1,
IF(H78&lt;=1,0,
ROUND(IF(H78&gt;=1.7, H78*'Reference Curves'!$W$701+'Reference Curves'!$W$702, IF(H78&lt;=1.4,
H78*'Reference Curves'!$U$701+'Reference Curves'!$U$702,H78*'Reference Curves'!$V$701+'Reference Curves'!$V$702)),2))))))))</f>
        <v/>
      </c>
      <c r="I108" s="164" t="str">
        <f>IF(I78="","",IF(LEFT($C$12,1)="A",
IF(I78&gt;=1.7,1,
IF(I78&lt;=1,0,
ROUND(IF(I78&lt;=1.1,I78*'Reference Curves'!$U$602+'Reference Curves'!$U$603,
(IF(I78&gt;=1.4,I78*'Reference Curves'!$W$602+'Reference Curves'!$W$603,
I78*'Reference Curves'!$V$602+'Reference Curves'!$V$603))),2))),            IF(LEFT($C$12,1)="B",
IF(I78&gt;=2.9,1,
IF(I78&lt;=1,0,
ROUND(IF(I78&lt;=2,I78*'Reference Curves'!$U$635+'Reference Curves'!$U$636,
(IF(I78&gt;=2.3,I78*'Reference Curves'!$W$635+'Reference Curves'!$W$636,
I78*'Reference Curves'!$V$635+'Reference Curves'!$V$636))),2))),     IF(LEFT($C$12,1)="C",
IF(I78&gt;=2.3,1,
IF(I78&lt;=1,0,
ROUND(IF(I78&lt;=1.2,I78*'Reference Curves'!$U$668+'Reference Curves'!$U$669,
IF(I78&gt;=1.9, I78*'Reference Curves'!$W$668+'Reference Curves'!$W$669,
I78*'Reference Curves'!$V$668+ 'Reference Curves'!$V$669)),2))),          IF(LEFT($C$12,1)="E",
IF(I78&gt;=2.1,1,
IF(I78&lt;=1,0,
ROUND(IF(I78&gt;=1.7, I78*'Reference Curves'!$W$701+'Reference Curves'!$W$702, IF(I78&lt;=1.4,
I78*'Reference Curves'!$U$701+'Reference Curves'!$U$702,I78*'Reference Curves'!$V$701+'Reference Curves'!$V$702)),2))))))))</f>
        <v/>
      </c>
      <c r="J108" s="164" t="str">
        <f>IF(J78="","",IF(LEFT($C$12,1)="A",
IF(J78&gt;=1.7,1,
IF(J78&lt;=1,0,
ROUND(IF(J78&lt;=1.1,J78*'Reference Curves'!$U$602+'Reference Curves'!$U$603,
(IF(J78&gt;=1.4,J78*'Reference Curves'!$W$602+'Reference Curves'!$W$603,
J78*'Reference Curves'!$V$602+'Reference Curves'!$V$603))),2))),            IF(LEFT($C$12,1)="B",
IF(J78&gt;=2.9,1,
IF(J78&lt;=1,0,
ROUND(IF(J78&lt;=2,J78*'Reference Curves'!$U$635+'Reference Curves'!$U$636,
(IF(J78&gt;=2.3,J78*'Reference Curves'!$W$635+'Reference Curves'!$W$636,
J78*'Reference Curves'!$V$635+'Reference Curves'!$V$636))),2))),     IF(LEFT($C$12,1)="C",
IF(J78&gt;=2.3,1,
IF(J78&lt;=1,0,
ROUND(IF(J78&lt;=1.2,J78*'Reference Curves'!$U$668+'Reference Curves'!$U$669,
IF(J78&gt;=1.9, J78*'Reference Curves'!$W$668+'Reference Curves'!$W$669,
J78*'Reference Curves'!$V$668+ 'Reference Curves'!$V$669)),2))),          IF(LEFT($C$12,1)="E",
IF(J78&gt;=2.1,1,
IF(J78&lt;=1,0,
ROUND(IF(J78&gt;=1.7, J78*'Reference Curves'!$W$701+'Reference Curves'!$W$702, IF(J78&lt;=1.4,
J78*'Reference Curves'!$U$701+'Reference Curves'!$U$702,J78*'Reference Curves'!$V$701+'Reference Curves'!$V$702)),2))))))))</f>
        <v/>
      </c>
      <c r="K108" s="164" t="str">
        <f>IF(K78="","",IF(LEFT($C$12,1)="A",
IF(K78&gt;=1.7,1,
IF(K78&lt;=1,0,
ROUND(IF(K78&lt;=1.1,K78*'Reference Curves'!$U$602+'Reference Curves'!$U$603,
(IF(K78&gt;=1.4,K78*'Reference Curves'!$W$602+'Reference Curves'!$W$603,
K78*'Reference Curves'!$V$602+'Reference Curves'!$V$603))),2))),            IF(LEFT($C$12,1)="B",
IF(K78&gt;=2.9,1,
IF(K78&lt;=1,0,
ROUND(IF(K78&lt;=2,K78*'Reference Curves'!$U$635+'Reference Curves'!$U$636,
(IF(K78&gt;=2.3,K78*'Reference Curves'!$W$635+'Reference Curves'!$W$636,
K78*'Reference Curves'!$V$635+'Reference Curves'!$V$636))),2))),     IF(LEFT($C$12,1)="C",
IF(K78&gt;=2.3,1,
IF(K78&lt;=1,0,
ROUND(IF(K78&lt;=1.2,K78*'Reference Curves'!$U$668+'Reference Curves'!$U$669,
IF(K78&gt;=1.9, K78*'Reference Curves'!$W$668+'Reference Curves'!$W$669,
K78*'Reference Curves'!$V$668+ 'Reference Curves'!$V$669)),2))),          IF(LEFT($C$12,1)="E",
IF(K78&gt;=2.1,1,
IF(K78&lt;=1,0,
ROUND(IF(K78&gt;=1.7, K78*'Reference Curves'!$W$701+'Reference Curves'!$W$702, IF(K78&lt;=1.4,
K78*'Reference Curves'!$U$701+'Reference Curves'!$U$702,K78*'Reference Curves'!$V$701+'Reference Curves'!$V$702)),2))))))))</f>
        <v/>
      </c>
      <c r="L108" s="164" t="str">
        <f>IF(L78="","",IF(LEFT($C$12,1)="A",
IF(L78&gt;=1.7,1,
IF(L78&lt;=1,0,
ROUND(IF(L78&lt;=1.1,L78*'Reference Curves'!$U$602+'Reference Curves'!$U$603,
(IF(L78&gt;=1.4,L78*'Reference Curves'!$W$602+'Reference Curves'!$W$603,
L78*'Reference Curves'!$V$602+'Reference Curves'!$V$603))),2))),            IF(LEFT($C$12,1)="B",
IF(L78&gt;=2.9,1,
IF(L78&lt;=1,0,
ROUND(IF(L78&lt;=2,L78*'Reference Curves'!$U$635+'Reference Curves'!$U$636,
(IF(L78&gt;=2.3,L78*'Reference Curves'!$W$635+'Reference Curves'!$W$636,
L78*'Reference Curves'!$V$635+'Reference Curves'!$V$636))),2))),     IF(LEFT($C$12,1)="C",
IF(L78&gt;=2.3,1,
IF(L78&lt;=1,0,
ROUND(IF(L78&lt;=1.2,L78*'Reference Curves'!$U$668+'Reference Curves'!$U$669,
IF(L78&gt;=1.9, L78*'Reference Curves'!$W$668+'Reference Curves'!$W$669,
L78*'Reference Curves'!$V$668+ 'Reference Curves'!$V$669)),2))),          IF(LEFT($C$12,1)="E",
IF(L78&gt;=2.1,1,
IF(L78&lt;=1,0,
ROUND(IF(L78&gt;=1.7, L78*'Reference Curves'!$W$701+'Reference Curves'!$W$702, IF(L78&lt;=1.4,
L78*'Reference Curves'!$U$701+'Reference Curves'!$U$702,L78*'Reference Curves'!$V$701+'Reference Curves'!$V$702)),2))))))))</f>
        <v/>
      </c>
      <c r="M108" s="164" t="str">
        <f>IF(M78="","",IF(LEFT($C$12,1)="A",
IF(M78&gt;=1.7,1,
IF(M78&lt;=1,0,
ROUND(IF(M78&lt;=1.1,M78*'Reference Curves'!$U$602+'Reference Curves'!$U$603,
(IF(M78&gt;=1.4,M78*'Reference Curves'!$W$602+'Reference Curves'!$W$603,
M78*'Reference Curves'!$V$602+'Reference Curves'!$V$603))),2))),            IF(LEFT($C$12,1)="B",
IF(M78&gt;=2.9,1,
IF(M78&lt;=1,0,
ROUND(IF(M78&lt;=2,M78*'Reference Curves'!$U$635+'Reference Curves'!$U$636,
(IF(M78&gt;=2.3,M78*'Reference Curves'!$W$635+'Reference Curves'!$W$636,
M78*'Reference Curves'!$V$635+'Reference Curves'!$V$636))),2))),     IF(LEFT($C$12,1)="C",
IF(M78&gt;=2.3,1,
IF(M78&lt;=1,0,
ROUND(IF(M78&lt;=1.2,M78*'Reference Curves'!$U$668+'Reference Curves'!$U$669,
IF(M78&gt;=1.9, M78*'Reference Curves'!$W$668+'Reference Curves'!$W$669,
M78*'Reference Curves'!$V$668+ 'Reference Curves'!$V$669)),2))),          IF(LEFT($C$12,1)="E",
IF(M78&gt;=2.1,1,
IF(M78&lt;=1,0,
ROUND(IF(M78&gt;=1.7, M78*'Reference Curves'!$W$701+'Reference Curves'!$W$702, IF(M78&lt;=1.4,
M78*'Reference Curves'!$U$701+'Reference Curves'!$U$702,M78*'Reference Curves'!$V$701+'Reference Curves'!$V$702)),2))))))))</f>
        <v/>
      </c>
      <c r="N108" s="164" t="str">
        <f>IF(N78="","",IF(LEFT($C$12,1)="A",
IF(N78&gt;=1.7,1,
IF(N78&lt;=1,0,
ROUND(IF(N78&lt;=1.1,N78*'Reference Curves'!$U$602+'Reference Curves'!$U$603,
(IF(N78&gt;=1.4,N78*'Reference Curves'!$W$602+'Reference Curves'!$W$603,
N78*'Reference Curves'!$V$602+'Reference Curves'!$V$603))),2))),            IF(LEFT($C$12,1)="B",
IF(N78&gt;=2.9,1,
IF(N78&lt;=1,0,
ROUND(IF(N78&lt;=2,N78*'Reference Curves'!$U$635+'Reference Curves'!$U$636,
(IF(N78&gt;=2.3,N78*'Reference Curves'!$W$635+'Reference Curves'!$W$636,
N78*'Reference Curves'!$V$635+'Reference Curves'!$V$636))),2))),     IF(LEFT($C$12,1)="C",
IF(N78&gt;=2.3,1,
IF(N78&lt;=1,0,
ROUND(IF(N78&lt;=1.2,N78*'Reference Curves'!$U$668+'Reference Curves'!$U$669,
IF(N78&gt;=1.9, N78*'Reference Curves'!$W$668+'Reference Curves'!$W$669,
N78*'Reference Curves'!$V$668+ 'Reference Curves'!$V$669)),2))),          IF(LEFT($C$12,1)="E",
IF(N78&gt;=2.1,1,
IF(N78&lt;=1,0,
ROUND(IF(N78&gt;=1.7, N78*'Reference Curves'!$W$701+'Reference Curves'!$W$702, IF(N78&lt;=1.4,
N78*'Reference Curves'!$U$701+'Reference Curves'!$U$702,N78*'Reference Curves'!$V$701+'Reference Curves'!$V$702)),2))))))))</f>
        <v/>
      </c>
      <c r="O108" s="164" t="str">
        <f>IF(O78="","",IF(LEFT($C$12,1)="A",
IF(O78&gt;=1.7,1,
IF(O78&lt;=1,0,
ROUND(IF(O78&lt;=1.1,O78*'Reference Curves'!$U$602+'Reference Curves'!$U$603,
(IF(O78&gt;=1.4,O78*'Reference Curves'!$W$602+'Reference Curves'!$W$603,
O78*'Reference Curves'!$V$602+'Reference Curves'!$V$603))),2))),            IF(LEFT($C$12,1)="B",
IF(O78&gt;=2.9,1,
IF(O78&lt;=1,0,
ROUND(IF(O78&lt;=2,O78*'Reference Curves'!$U$635+'Reference Curves'!$U$636,
(IF(O78&gt;=2.3,O78*'Reference Curves'!$W$635+'Reference Curves'!$W$636,
O78*'Reference Curves'!$V$635+'Reference Curves'!$V$636))),2))),     IF(LEFT($C$12,1)="C",
IF(O78&gt;=2.3,1,
IF(O78&lt;=1,0,
ROUND(IF(O78&lt;=1.2,O78*'Reference Curves'!$U$668+'Reference Curves'!$U$669,
IF(O78&gt;=1.9, O78*'Reference Curves'!$W$668+'Reference Curves'!$W$669,
O78*'Reference Curves'!$V$668+ 'Reference Curves'!$V$669)),2))),          IF(LEFT($C$12,1)="E",
IF(O78&gt;=2.1,1,
IF(O78&lt;=1,0,
ROUND(IF(O78&gt;=1.7, O78*'Reference Curves'!$W$701+'Reference Curves'!$W$702, IF(O78&lt;=1.4,
O78*'Reference Curves'!$U$701+'Reference Curves'!$U$702,O78*'Reference Curves'!$V$701+'Reference Curves'!$V$702)),2))))))))</f>
        <v/>
      </c>
    </row>
    <row r="109" spans="1:15" ht="15.75" x14ac:dyDescent="0.5">
      <c r="A109" s="557"/>
      <c r="B109" s="558"/>
      <c r="C109" s="37" t="s">
        <v>310</v>
      </c>
      <c r="D109" s="37"/>
      <c r="E109" s="195" t="str">
        <f>IF(E79="","",IF(OR(LEFT($C$12,1)="F",LEFT($C$12,1)="G",LEFT($C$12,1)="D"),"FALSE",
IF(LEFT($C$12,1)="A",
ROUND(IF(OR(E79&gt;=100,E79&lt;=0),0,IF(E79&lt;=54,E79*'Reference Curves'!$U$735+'Reference Curves'!$U$736,
IF(E79&gt;=62,E79*'Reference Curves'!$V$735+'Reference Curves'!$V$736,1))),2),IF(LEFT($C$12,1)="B",
ROUND(IF(OR(E79&gt;=100,E79&lt;=0),0,IF(E79&lt;=53,E79*'Reference Curves'!$U$769+'Reference Curves'!$U$770,
IF(E79&gt;=61,E79*'Reference Curves'!$V$769+'Reference Curves'!$V$770,1))),2),
IF(LEFT($C$12,1)="C",
ROUND(IF(OR(E79&gt;=100,E79&lt;=0),0,
IF(E79&lt;45,E79*'Reference Curves'!$U$804+'Reference Curves'!$U$805,
IF(E79&gt;=64,E79*'Reference Curves'!$V$804+'Reference Curves'!$V$805,1))),2),
IF(LEFT($C$12,1)="E",
ROUND(IF(OR(E79&gt;=100,E79&lt;=0),0,
IF(E79&lt;43,E79*'Reference Curves'!$U$838+'Reference Curves'!$U$839,
IF(E79&gt;=63,E79*'Reference Curves'!$V$838+'Reference Curves'!$V$839,1))),2),))))))</f>
        <v/>
      </c>
      <c r="F109" s="195" t="str">
        <f>IF(F79="","",IF(OR(LEFT($C$12,1)="F",LEFT($C$12,1)="G",LEFT($C$12,1)="D"),"FALSE",
IF(LEFT($C$12,1)="A",
ROUND(IF(OR(F79&gt;=100,F79&lt;=0),0,IF(F79&lt;=54,F79*'Reference Curves'!$U$735+'Reference Curves'!$U$736,
IF(F79&gt;=62,F79*'Reference Curves'!$V$735+'Reference Curves'!$V$736,1))),2),IF(LEFT($C$12,1)="B",
ROUND(IF(OR(F79&gt;=100,F79&lt;=0),0,IF(F79&lt;=53,F79*'Reference Curves'!$U$769+'Reference Curves'!$U$770,
IF(F79&gt;=61,F79*'Reference Curves'!$V$769+'Reference Curves'!$V$770,1))),2),
IF(LEFT($C$12,1)="C",
ROUND(IF(OR(F79&gt;=100,F79&lt;=0),0,
IF(F79&lt;45,F79*'Reference Curves'!$U$804+'Reference Curves'!$U$805,
IF(F79&gt;=64,F79*'Reference Curves'!$V$804+'Reference Curves'!$V$805,1))),2),
IF(LEFT($C$12,1)="E",
ROUND(IF(OR(F79&gt;=100,F79&lt;=0),0,
IF(F79&lt;43,F79*'Reference Curves'!$U$838+'Reference Curves'!$U$839,
IF(F79&gt;=63,F79*'Reference Curves'!$V$838+'Reference Curves'!$V$839,1))),2),))))))</f>
        <v/>
      </c>
      <c r="G109" s="195" t="str">
        <f>IF(G79="","",IF(OR(LEFT($C$12,1)="F",LEFT($C$12,1)="G",LEFT($C$12,1)="D"),"FALSE",
IF(LEFT($C$12,1)="A",
ROUND(IF(OR(G79&gt;=100,G79&lt;=0),0,IF(G79&lt;=54,G79*'Reference Curves'!$U$735+'Reference Curves'!$U$736,
IF(G79&gt;=62,G79*'Reference Curves'!$V$735+'Reference Curves'!$V$736,1))),2),IF(LEFT($C$12,1)="B",
ROUND(IF(OR(G79&gt;=100,G79&lt;=0),0,IF(G79&lt;=53,G79*'Reference Curves'!$U$769+'Reference Curves'!$U$770,
IF(G79&gt;=61,G79*'Reference Curves'!$V$769+'Reference Curves'!$V$770,1))),2),
IF(LEFT($C$12,1)="C",
ROUND(IF(OR(G79&gt;=100,G79&lt;=0),0,
IF(G79&lt;45,G79*'Reference Curves'!$U$804+'Reference Curves'!$U$805,
IF(G79&gt;=64,G79*'Reference Curves'!$V$804+'Reference Curves'!$V$805,1))),2),
IF(LEFT($C$12,1)="E",
ROUND(IF(OR(G79&gt;=100,G79&lt;=0),0,
IF(G79&lt;43,G79*'Reference Curves'!$U$838+'Reference Curves'!$U$839,
IF(G79&gt;=63,G79*'Reference Curves'!$V$838+'Reference Curves'!$V$839,1))),2),))))))</f>
        <v/>
      </c>
      <c r="H109" s="195" t="str">
        <f>IF(H79="","",IF(OR(LEFT($C$12,1)="F",LEFT($C$12,1)="G",LEFT($C$12,1)="D"),"FALSE",
IF(LEFT($C$12,1)="A",
ROUND(IF(OR(H79&gt;=100,H79&lt;=0),0,IF(H79&lt;=54,H79*'Reference Curves'!$U$735+'Reference Curves'!$U$736,
IF(H79&gt;=62,H79*'Reference Curves'!$V$735+'Reference Curves'!$V$736,1))),2),IF(LEFT($C$12,1)="B",
ROUND(IF(OR(H79&gt;=100,H79&lt;=0),0,IF(H79&lt;=53,H79*'Reference Curves'!$U$769+'Reference Curves'!$U$770,
IF(H79&gt;=61,H79*'Reference Curves'!$V$769+'Reference Curves'!$V$770,1))),2),
IF(LEFT($C$12,1)="C",
ROUND(IF(OR(H79&gt;=100,H79&lt;=0),0,
IF(H79&lt;45,H79*'Reference Curves'!$U$804+'Reference Curves'!$U$805,
IF(H79&gt;=64,H79*'Reference Curves'!$V$804+'Reference Curves'!$V$805,1))),2),
IF(LEFT($C$12,1)="E",
ROUND(IF(OR(H79&gt;=100,H79&lt;=0),0,
IF(H79&lt;43,H79*'Reference Curves'!$U$838+'Reference Curves'!$U$839,
IF(H79&gt;=63,H79*'Reference Curves'!$V$838+'Reference Curves'!$V$839,1))),2),))))))</f>
        <v/>
      </c>
      <c r="I109" s="195" t="str">
        <f>IF(I79="","",IF(OR(LEFT($C$12,1)="F",LEFT($C$12,1)="G",LEFT($C$12,1)="D"),"FALSE",
IF(LEFT($C$12,1)="A",
ROUND(IF(OR(I79&gt;=100,I79&lt;=0),0,IF(I79&lt;=54,I79*'Reference Curves'!$U$735+'Reference Curves'!$U$736,
IF(I79&gt;=62,I79*'Reference Curves'!$V$735+'Reference Curves'!$V$736,1))),2),IF(LEFT($C$12,1)="B",
ROUND(IF(OR(I79&gt;=100,I79&lt;=0),0,IF(I79&lt;=53,I79*'Reference Curves'!$U$769+'Reference Curves'!$U$770,
IF(I79&gt;=61,I79*'Reference Curves'!$V$769+'Reference Curves'!$V$770,1))),2),
IF(LEFT($C$12,1)="C",
ROUND(IF(OR(I79&gt;=100,I79&lt;=0),0,
IF(I79&lt;45,I79*'Reference Curves'!$U$804+'Reference Curves'!$U$805,
IF(I79&gt;=64,I79*'Reference Curves'!$V$804+'Reference Curves'!$V$805,1))),2),
IF(LEFT($C$12,1)="E",
ROUND(IF(OR(I79&gt;=100,I79&lt;=0),0,
IF(I79&lt;43,I79*'Reference Curves'!$U$838+'Reference Curves'!$U$839,
IF(I79&gt;=63,I79*'Reference Curves'!$V$838+'Reference Curves'!$V$839,1))),2),))))))</f>
        <v/>
      </c>
      <c r="J109" s="195" t="str">
        <f>IF(J79="","",IF(OR(LEFT($C$12,1)="F",LEFT($C$12,1)="G",LEFT($C$12,1)="D"),"FALSE",
IF(LEFT($C$12,1)="A",
ROUND(IF(OR(J79&gt;=100,J79&lt;=0),0,IF(J79&lt;=54,J79*'Reference Curves'!$U$735+'Reference Curves'!$U$736,
IF(J79&gt;=62,J79*'Reference Curves'!$V$735+'Reference Curves'!$V$736,1))),2),IF(LEFT($C$12,1)="B",
ROUND(IF(OR(J79&gt;=100,J79&lt;=0),0,IF(J79&lt;=53,J79*'Reference Curves'!$U$769+'Reference Curves'!$U$770,
IF(J79&gt;=61,J79*'Reference Curves'!$V$769+'Reference Curves'!$V$770,1))),2),
IF(LEFT($C$12,1)="C",
ROUND(IF(OR(J79&gt;=100,J79&lt;=0),0,
IF(J79&lt;45,J79*'Reference Curves'!$U$804+'Reference Curves'!$U$805,
IF(J79&gt;=64,J79*'Reference Curves'!$V$804+'Reference Curves'!$V$805,1))),2),
IF(LEFT($C$12,1)="E",
ROUND(IF(OR(J79&gt;=100,J79&lt;=0),0,
IF(J79&lt;43,J79*'Reference Curves'!$U$838+'Reference Curves'!$U$839,
IF(J79&gt;=63,J79*'Reference Curves'!$V$838+'Reference Curves'!$V$839,1))),2),))))))</f>
        <v/>
      </c>
      <c r="K109" s="195" t="str">
        <f>IF(K79="","",IF(OR(LEFT($C$12,1)="F",LEFT($C$12,1)="G",LEFT($C$12,1)="D"),"FALSE",
IF(LEFT($C$12,1)="A",
ROUND(IF(OR(K79&gt;=100,K79&lt;=0),0,IF(K79&lt;=54,K79*'Reference Curves'!$U$735+'Reference Curves'!$U$736,
IF(K79&gt;=62,K79*'Reference Curves'!$V$735+'Reference Curves'!$V$736,1))),2),IF(LEFT($C$12,1)="B",
ROUND(IF(OR(K79&gt;=100,K79&lt;=0),0,IF(K79&lt;=53,K79*'Reference Curves'!$U$769+'Reference Curves'!$U$770,
IF(K79&gt;=61,K79*'Reference Curves'!$V$769+'Reference Curves'!$V$770,1))),2),
IF(LEFT($C$12,1)="C",
ROUND(IF(OR(K79&gt;=100,K79&lt;=0),0,
IF(K79&lt;45,K79*'Reference Curves'!$U$804+'Reference Curves'!$U$805,
IF(K79&gt;=64,K79*'Reference Curves'!$V$804+'Reference Curves'!$V$805,1))),2),
IF(LEFT($C$12,1)="E",
ROUND(IF(OR(K79&gt;=100,K79&lt;=0),0,
IF(K79&lt;43,K79*'Reference Curves'!$U$838+'Reference Curves'!$U$839,
IF(K79&gt;=63,K79*'Reference Curves'!$V$838+'Reference Curves'!$V$839,1))),2),))))))</f>
        <v/>
      </c>
      <c r="L109" s="195" t="str">
        <f>IF(L79="","",IF(OR(LEFT($C$12,1)="F",LEFT($C$12,1)="G",LEFT($C$12,1)="D"),"FALSE",
IF(LEFT($C$12,1)="A",
ROUND(IF(OR(L79&gt;=100,L79&lt;=0),0,IF(L79&lt;=54,L79*'Reference Curves'!$U$735+'Reference Curves'!$U$736,
IF(L79&gt;=62,L79*'Reference Curves'!$V$735+'Reference Curves'!$V$736,1))),2),IF(LEFT($C$12,1)="B",
ROUND(IF(OR(L79&gt;=100,L79&lt;=0),0,IF(L79&lt;=53,L79*'Reference Curves'!$U$769+'Reference Curves'!$U$770,
IF(L79&gt;=61,L79*'Reference Curves'!$V$769+'Reference Curves'!$V$770,1))),2),
IF(LEFT($C$12,1)="C",
ROUND(IF(OR(L79&gt;=100,L79&lt;=0),0,
IF(L79&lt;45,L79*'Reference Curves'!$U$804+'Reference Curves'!$U$805,
IF(L79&gt;=64,L79*'Reference Curves'!$V$804+'Reference Curves'!$V$805,1))),2),
IF(LEFT($C$12,1)="E",
ROUND(IF(OR(L79&gt;=100,L79&lt;=0),0,
IF(L79&lt;43,L79*'Reference Curves'!$U$838+'Reference Curves'!$U$839,
IF(L79&gt;=63,L79*'Reference Curves'!$V$838+'Reference Curves'!$V$839,1))),2),))))))</f>
        <v/>
      </c>
      <c r="M109" s="195" t="str">
        <f>IF(M79="","",IF(OR(LEFT($C$12,1)="F",LEFT($C$12,1)="G",LEFT($C$12,1)="D"),"FALSE",
IF(LEFT($C$12,1)="A",
ROUND(IF(OR(M79&gt;=100,M79&lt;=0),0,IF(M79&lt;=54,M79*'Reference Curves'!$U$735+'Reference Curves'!$U$736,
IF(M79&gt;=62,M79*'Reference Curves'!$V$735+'Reference Curves'!$V$736,1))),2),IF(LEFT($C$12,1)="B",
ROUND(IF(OR(M79&gt;=100,M79&lt;=0),0,IF(M79&lt;=53,M79*'Reference Curves'!$U$769+'Reference Curves'!$U$770,
IF(M79&gt;=61,M79*'Reference Curves'!$V$769+'Reference Curves'!$V$770,1))),2),
IF(LEFT($C$12,1)="C",
ROUND(IF(OR(M79&gt;=100,M79&lt;=0),0,
IF(M79&lt;45,M79*'Reference Curves'!$U$804+'Reference Curves'!$U$805,
IF(M79&gt;=64,M79*'Reference Curves'!$V$804+'Reference Curves'!$V$805,1))),2),
IF(LEFT($C$12,1)="E",
ROUND(IF(OR(M79&gt;=100,M79&lt;=0),0,
IF(M79&lt;43,M79*'Reference Curves'!$U$838+'Reference Curves'!$U$839,
IF(M79&gt;=63,M79*'Reference Curves'!$V$838+'Reference Curves'!$V$839,1))),2),))))))</f>
        <v/>
      </c>
      <c r="N109" s="195" t="str">
        <f>IF(N79="","",IF(OR(LEFT($C$12,1)="F",LEFT($C$12,1)="G",LEFT($C$12,1)="D"),"FALSE",
IF(LEFT($C$12,1)="A",
ROUND(IF(OR(N79&gt;=100,N79&lt;=0),0,IF(N79&lt;=54,N79*'Reference Curves'!$U$735+'Reference Curves'!$U$736,
IF(N79&gt;=62,N79*'Reference Curves'!$V$735+'Reference Curves'!$V$736,1))),2),IF(LEFT($C$12,1)="B",
ROUND(IF(OR(N79&gt;=100,N79&lt;=0),0,IF(N79&lt;=53,N79*'Reference Curves'!$U$769+'Reference Curves'!$U$770,
IF(N79&gt;=61,N79*'Reference Curves'!$V$769+'Reference Curves'!$V$770,1))),2),
IF(LEFT($C$12,1)="C",
ROUND(IF(OR(N79&gt;=100,N79&lt;=0),0,
IF(N79&lt;45,N79*'Reference Curves'!$U$804+'Reference Curves'!$U$805,
IF(N79&gt;=64,N79*'Reference Curves'!$V$804+'Reference Curves'!$V$805,1))),2),
IF(LEFT($C$12,1)="E",
ROUND(IF(OR(N79&gt;=100,N79&lt;=0),0,
IF(N79&lt;43,N79*'Reference Curves'!$U$838+'Reference Curves'!$U$839,
IF(N79&gt;=63,N79*'Reference Curves'!$V$838+'Reference Curves'!$V$839,1))),2),))))))</f>
        <v/>
      </c>
      <c r="O109" s="195" t="str">
        <f>IF(O79="","",IF(OR(LEFT($C$12,1)="F",LEFT($C$12,1)="G",LEFT($C$12,1)="D"),"FALSE",
IF(LEFT($C$12,1)="A",
ROUND(IF(OR(O79&gt;=100,O79&lt;=0),0,IF(O79&lt;=54,O79*'Reference Curves'!$U$735+'Reference Curves'!$U$736,
IF(O79&gt;=62,O79*'Reference Curves'!$V$735+'Reference Curves'!$V$736,1))),2),IF(LEFT($C$12,1)="B",
ROUND(IF(OR(O79&gt;=100,O79&lt;=0),0,IF(O79&lt;=53,O79*'Reference Curves'!$U$769+'Reference Curves'!$U$770,
IF(O79&gt;=61,O79*'Reference Curves'!$V$769+'Reference Curves'!$V$770,1))),2),
IF(LEFT($C$12,1)="C",
ROUND(IF(OR(O79&gt;=100,O79&lt;=0),0,
IF(O79&lt;45,O79*'Reference Curves'!$U$804+'Reference Curves'!$U$805,
IF(O79&gt;=64,O79*'Reference Curves'!$V$804+'Reference Curves'!$V$805,1))),2),
IF(LEFT($C$12,1)="E",
ROUND(IF(OR(O79&gt;=100,O79&lt;=0),0,
IF(O79&lt;43,O79*'Reference Curves'!$U$838+'Reference Curves'!$U$839,
IF(O79&gt;=63,O79*'Reference Curves'!$V$838+'Reference Curves'!$V$839,1))),2),))))))</f>
        <v/>
      </c>
    </row>
    <row r="110" spans="1:15" ht="15.75" x14ac:dyDescent="0.5">
      <c r="A110" s="559" t="s">
        <v>49</v>
      </c>
      <c r="B110" s="318" t="s">
        <v>85</v>
      </c>
      <c r="C110" s="209" t="s">
        <v>359</v>
      </c>
      <c r="D110" s="216"/>
      <c r="E110" s="142" t="str">
        <f>IF(E80="","",IF($C$22="Coldwater",IF(E80&gt;=77,0,IF(E80&lt;=58.04,1,ROUND(E80*'Reference Curves'!$AF$15+'Reference Curves'!$AF$16,2)))))</f>
        <v/>
      </c>
      <c r="F110" s="142" t="str">
        <f>IF(F80="","",IF($C$22="Coldwater",IF(F80&gt;=77,0,IF(F80&lt;=58.04,1,ROUND(F80*'Reference Curves'!$AF$15+'Reference Curves'!$AF$16,2)))))</f>
        <v/>
      </c>
      <c r="G110" s="142" t="str">
        <f>IF(G80="","",IF($C$22="Coldwater",IF(G80&gt;=77,0,IF(G80&lt;=58.04,1,ROUND(G80*'Reference Curves'!$AF$15+'Reference Curves'!$AF$16,2)))))</f>
        <v/>
      </c>
      <c r="H110" s="142" t="str">
        <f>IF(H80="","",IF($C$22="Coldwater",IF(H80&gt;=77,0,IF(H80&lt;=58.04,1,ROUND(H80*'Reference Curves'!$AF$15+'Reference Curves'!$AF$16,2)))))</f>
        <v/>
      </c>
      <c r="I110" s="142" t="str">
        <f>IF(I80="","",IF($C$22="Coldwater",IF(I80&gt;=77,0,IF(I80&lt;=58.04,1,ROUND(I80*'Reference Curves'!$AF$15+'Reference Curves'!$AF$16,2)))))</f>
        <v/>
      </c>
      <c r="J110" s="142" t="str">
        <f>IF(J80="","",IF($C$22="Coldwater",IF(J80&gt;=77,0,IF(J80&lt;=58.04,1,ROUND(J80*'Reference Curves'!$AF$15+'Reference Curves'!$AF$16,2)))))</f>
        <v/>
      </c>
      <c r="K110" s="142" t="str">
        <f>IF(K80="","",IF($C$22="Coldwater",IF(K80&gt;=77,0,IF(K80&lt;=58.04,1,ROUND(K80*'Reference Curves'!$AF$15+'Reference Curves'!$AF$16,2)))))</f>
        <v/>
      </c>
      <c r="L110" s="142" t="str">
        <f>IF(L80="","",IF($C$22="Coldwater",IF(L80&gt;=77,0,IF(L80&lt;=58.04,1,ROUND(L80*'Reference Curves'!$AF$15+'Reference Curves'!$AF$16,2)))))</f>
        <v/>
      </c>
      <c r="M110" s="142" t="str">
        <f>IF(M80="","",IF($C$22="Coldwater",IF(M80&gt;=77,0,IF(M80&lt;=58.04,1,ROUND(M80*'Reference Curves'!$AF$15+'Reference Curves'!$AF$16,2)))))</f>
        <v/>
      </c>
      <c r="N110" s="142" t="str">
        <f>IF(N80="","",IF($C$22="Coldwater",IF(N80&gt;=77,0,IF(N80&lt;=58.04,1,ROUND(N80*'Reference Curves'!$AF$15+'Reference Curves'!$AF$16,2)))))</f>
        <v/>
      </c>
      <c r="O110" s="142" t="str">
        <f>IF(O80="","",IF($C$22="Coldwater",IF(O80&gt;=77,0,IF(O80&lt;=58.04,1,ROUND(O80*'Reference Curves'!$AF$15+'Reference Curves'!$AF$16,2)))))</f>
        <v/>
      </c>
    </row>
    <row r="111" spans="1:15" ht="15.75" x14ac:dyDescent="0.5">
      <c r="A111" s="560"/>
      <c r="B111" s="210" t="s">
        <v>95</v>
      </c>
      <c r="C111" s="211" t="s">
        <v>396</v>
      </c>
      <c r="D111" s="209"/>
      <c r="E111" s="164" t="str">
        <f>IF(E81="","",
ROUND(IF(E81&gt;='Reference Curves'!$AJ$50,0,
IF(E81&lt;=35,1,
IF(E81&gt;=121,E81*'Reference Curves'!$AF$49+'Reference Curves'!$AF$50,
E81*'Reference Curves'!$AG$49+'Reference Curves'!$AG$50))),2))</f>
        <v/>
      </c>
      <c r="F111" s="164" t="str">
        <f>IF(F81="","",
ROUND(IF(F81&gt;='Reference Curves'!$AJ$50,0,
IF(F81&lt;=35,1,
IF(F81&gt;=121,F81*'Reference Curves'!$AF$49+'Reference Curves'!$AF$50,
F81*'Reference Curves'!$AG$49+'Reference Curves'!$AG$50))),2))</f>
        <v/>
      </c>
      <c r="G111" s="164" t="str">
        <f>IF(G81="","",
ROUND(IF(G81&gt;='Reference Curves'!$AJ$50,0,
IF(G81&lt;=35,1,
IF(G81&gt;=121,G81*'Reference Curves'!$AF$49+'Reference Curves'!$AF$50,
G81*'Reference Curves'!$AG$49+'Reference Curves'!$AG$50))),2))</f>
        <v/>
      </c>
      <c r="H111" s="164" t="str">
        <f>IF(H81="","",
ROUND(IF(H81&gt;='Reference Curves'!$AJ$50,0,
IF(H81&lt;=35,1,
IF(H81&gt;=121,H81*'Reference Curves'!$AF$49+'Reference Curves'!$AF$50,
H81*'Reference Curves'!$AG$49+'Reference Curves'!$AG$50))),2))</f>
        <v/>
      </c>
      <c r="I111" s="164" t="str">
        <f>IF(I81="","",
ROUND(IF(I81&gt;='Reference Curves'!$AJ$50,0,
IF(I81&lt;=35,1,
IF(I81&gt;=121,I81*'Reference Curves'!$AF$49+'Reference Curves'!$AF$50,
I81*'Reference Curves'!$AG$49+'Reference Curves'!$AG$50))),2))</f>
        <v/>
      </c>
      <c r="J111" s="164" t="str">
        <f>IF(J81="","",
ROUND(IF(J81&gt;='Reference Curves'!$AJ$50,0,
IF(J81&lt;=35,1,
IF(J81&gt;=121,J81*'Reference Curves'!$AF$49+'Reference Curves'!$AF$50,
J81*'Reference Curves'!$AG$49+'Reference Curves'!$AG$50))),2))</f>
        <v/>
      </c>
      <c r="K111" s="164" t="str">
        <f>IF(K81="","",
ROUND(IF(K81&gt;='Reference Curves'!$AJ$50,0,
IF(K81&lt;=35,1,
IF(K81&gt;=121,K81*'Reference Curves'!$AF$49+'Reference Curves'!$AF$50,
K81*'Reference Curves'!$AG$49+'Reference Curves'!$AG$50))),2))</f>
        <v/>
      </c>
      <c r="L111" s="164" t="str">
        <f>IF(L81="","",
ROUND(IF(L81&gt;='Reference Curves'!$AJ$50,0,
IF(L81&lt;=35,1,
IF(L81&gt;=121,L81*'Reference Curves'!$AF$49+'Reference Curves'!$AF$50,
L81*'Reference Curves'!$AG$49+'Reference Curves'!$AG$50))),2))</f>
        <v/>
      </c>
      <c r="M111" s="164" t="str">
        <f>IF(M81="","",
ROUND(IF(M81&gt;='Reference Curves'!$AJ$50,0,
IF(M81&lt;=35,1,
IF(M81&gt;=121,M81*'Reference Curves'!$AF$49+'Reference Curves'!$AF$50,
M81*'Reference Curves'!$AG$49+'Reference Curves'!$AG$50))),2))</f>
        <v/>
      </c>
      <c r="N111" s="164" t="str">
        <f>IF(N81="","",
ROUND(IF(N81&gt;='Reference Curves'!$AJ$50,0,
IF(N81&lt;=35,1,
IF(N81&gt;=121,N81*'Reference Curves'!$AF$49+'Reference Curves'!$AF$50,
N81*'Reference Curves'!$AG$49+'Reference Curves'!$AG$50))),2))</f>
        <v/>
      </c>
      <c r="O111" s="164" t="str">
        <f>IF(O81="","",
ROUND(IF(O81&gt;='Reference Curves'!$AJ$50,0,
IF(O81&lt;=35,1,
IF(O81&gt;=121,O81*'Reference Curves'!$AF$49+'Reference Curves'!$AF$50,
O81*'Reference Curves'!$AG$49+'Reference Curves'!$AG$50))),2))</f>
        <v/>
      </c>
    </row>
    <row r="112" spans="1:15" ht="15.75" x14ac:dyDescent="0.5">
      <c r="A112" s="560"/>
      <c r="B112" s="212" t="s">
        <v>86</v>
      </c>
      <c r="C112" s="212" t="s">
        <v>145</v>
      </c>
      <c r="D112" s="217"/>
      <c r="E112" s="142" t="str">
        <f>IF(E82="","",
IF(E82&gt;=2.3,0,
IF(E82&lt;=0.4,1,
ROUND(IF(E82&lt;0.8,E82*'Reference Curves'!$AG$85+'Reference Curves'!$AG$86,E82*'Reference Curves'!$AF$85+'Reference Curves'!$AF$86),2))))</f>
        <v/>
      </c>
      <c r="F112" s="142" t="str">
        <f>IF(F82="","",
IF(F82&gt;=2.3,0,
IF(F82&lt;=0.4,1,
ROUND(IF(F82&lt;0.8,F82*'Reference Curves'!$AG$85+'Reference Curves'!$AG$86,F82*'Reference Curves'!$AF$85+'Reference Curves'!$AF$86),2))))</f>
        <v/>
      </c>
      <c r="G112" s="142" t="str">
        <f>IF(G82="","",
IF(G82&gt;=2.3,0,
IF(G82&lt;=0.4,1,
ROUND(IF(G82&lt;0.8,G82*'Reference Curves'!$AG$85+'Reference Curves'!$AG$86,G82*'Reference Curves'!$AF$85+'Reference Curves'!$AF$86),2))))</f>
        <v/>
      </c>
      <c r="H112" s="142" t="str">
        <f>IF(H82="","",
IF(H82&gt;=2.3,0,
IF(H82&lt;=0.4,1,
ROUND(IF(H82&lt;0.8,H82*'Reference Curves'!$AG$85+'Reference Curves'!$AG$86,H82*'Reference Curves'!$AF$85+'Reference Curves'!$AF$86),2))))</f>
        <v/>
      </c>
      <c r="I112" s="142" t="str">
        <f>IF(I82="","",
IF(I82&gt;=2.3,0,
IF(I82&lt;=0.4,1,
ROUND(IF(I82&lt;0.8,I82*'Reference Curves'!$AG$85+'Reference Curves'!$AG$86,I82*'Reference Curves'!$AF$85+'Reference Curves'!$AF$86),2))))</f>
        <v/>
      </c>
      <c r="J112" s="142" t="str">
        <f>IF(J82="","",
IF(J82&gt;=2.3,0,
IF(J82&lt;=0.4,1,
ROUND(IF(J82&lt;0.8,J82*'Reference Curves'!$AG$85+'Reference Curves'!$AG$86,J82*'Reference Curves'!$AF$85+'Reference Curves'!$AF$86),2))))</f>
        <v/>
      </c>
      <c r="K112" s="142" t="str">
        <f>IF(K82="","",
IF(K82&gt;=2.3,0,
IF(K82&lt;=0.4,1,
ROUND(IF(K82&lt;0.8,K82*'Reference Curves'!$AG$85+'Reference Curves'!$AG$86,K82*'Reference Curves'!$AF$85+'Reference Curves'!$AF$86),2))))</f>
        <v/>
      </c>
      <c r="L112" s="142" t="str">
        <f>IF(L82="","",
IF(L82&gt;=2.3,0,
IF(L82&lt;=0.4,1,
ROUND(IF(L82&lt;0.8,L82*'Reference Curves'!$AG$85+'Reference Curves'!$AG$86,L82*'Reference Curves'!$AF$85+'Reference Curves'!$AF$86),2))))</f>
        <v/>
      </c>
      <c r="M112" s="142" t="str">
        <f>IF(M82="","",
IF(M82&gt;=2.3,0,
IF(M82&lt;=0.4,1,
ROUND(IF(M82&lt;0.8,M82*'Reference Curves'!$AG$85+'Reference Curves'!$AG$86,M82*'Reference Curves'!$AF$85+'Reference Curves'!$AF$86),2))))</f>
        <v/>
      </c>
      <c r="N112" s="142" t="str">
        <f>IF(N82="","",
IF(N82&gt;=2.3,0,
IF(N82&lt;=0.4,1,
ROUND(IF(N82&lt;0.8,N82*'Reference Curves'!$AG$85+'Reference Curves'!$AG$86,N82*'Reference Curves'!$AF$85+'Reference Curves'!$AF$86),2))))</f>
        <v/>
      </c>
      <c r="O112" s="142" t="str">
        <f>IF(O82="","",
IF(O82&gt;=2.3,0,
IF(O82&lt;=0.4,1,
ROUND(IF(O82&lt;0.8,O82*'Reference Curves'!$AG$85+'Reference Curves'!$AG$86,O82*'Reference Curves'!$AF$85+'Reference Curves'!$AF$86),2))))</f>
        <v/>
      </c>
    </row>
    <row r="113" spans="1:15" ht="15.75" x14ac:dyDescent="0.5">
      <c r="A113" s="560"/>
      <c r="B113" s="212" t="s">
        <v>87</v>
      </c>
      <c r="C113" s="346" t="s">
        <v>146</v>
      </c>
      <c r="D113" s="350"/>
      <c r="E113" s="164" t="str">
        <f>IF(E83="","",
IF(E83&gt;=0.2,0,
IF(E83&lt;=0.04,1,
ROUND(IF(E83&lt;0.08,E83*'Reference Curves'!$AG$118+'Reference Curves'!$AG$119,
E83*'Reference Curves'!$AF$118+'Reference Curves'!$AF$119),2)
)))</f>
        <v/>
      </c>
      <c r="F113" s="164" t="str">
        <f>IF(F83="","",
IF(F83&gt;=0.2,0,
IF(F83&lt;=0.04,1,
ROUND(IF(F83&lt;0.08,F83*'Reference Curves'!$AG$118+'Reference Curves'!$AG$119,
F83*'Reference Curves'!$AF$118+'Reference Curves'!$AF$119),2)
)))</f>
        <v/>
      </c>
      <c r="G113" s="164" t="str">
        <f>IF(G83="","",
IF(G83&gt;=0.2,0,
IF(G83&lt;=0.04,1,
ROUND(IF(G83&lt;0.08,G83*'Reference Curves'!$AG$118+'Reference Curves'!$AG$119,
G83*'Reference Curves'!$AF$118+'Reference Curves'!$AF$119),2)
)))</f>
        <v/>
      </c>
      <c r="H113" s="164" t="str">
        <f>IF(H83="","",
IF(H83&gt;=0.2,0,
IF(H83&lt;=0.04,1,
ROUND(IF(H83&lt;0.08,H83*'Reference Curves'!$AG$118+'Reference Curves'!$AG$119,
H83*'Reference Curves'!$AF$118+'Reference Curves'!$AF$119),2)
)))</f>
        <v/>
      </c>
      <c r="I113" s="164" t="str">
        <f>IF(I83="","",
IF(I83&gt;=0.2,0,
IF(I83&lt;=0.04,1,
ROUND(IF(I83&lt;0.08,I83*'Reference Curves'!$AG$118+'Reference Curves'!$AG$119,
I83*'Reference Curves'!$AF$118+'Reference Curves'!$AF$119),2)
)))</f>
        <v/>
      </c>
      <c r="J113" s="164" t="str">
        <f>IF(J83="","",
IF(J83&gt;=0.2,0,
IF(J83&lt;=0.04,1,
ROUND(IF(J83&lt;0.08,J83*'Reference Curves'!$AG$118+'Reference Curves'!$AG$119,
J83*'Reference Curves'!$AF$118+'Reference Curves'!$AF$119),2)
)))</f>
        <v/>
      </c>
      <c r="K113" s="164" t="str">
        <f>IF(K83="","",
IF(K83&gt;=0.2,0,
IF(K83&lt;=0.04,1,
ROUND(IF(K83&lt;0.08,K83*'Reference Curves'!$AG$118+'Reference Curves'!$AG$119,
K83*'Reference Curves'!$AF$118+'Reference Curves'!$AF$119),2)
)))</f>
        <v/>
      </c>
      <c r="L113" s="164" t="str">
        <f>IF(L83="","",
IF(L83&gt;=0.2,0,
IF(L83&lt;=0.04,1,
ROUND(IF(L83&lt;0.08,L83*'Reference Curves'!$AG$118+'Reference Curves'!$AG$119,
L83*'Reference Curves'!$AF$118+'Reference Curves'!$AF$119),2)
)))</f>
        <v/>
      </c>
      <c r="M113" s="164" t="str">
        <f>IF(M83="","",
IF(M83&gt;=0.2,0,
IF(M83&lt;=0.04,1,
ROUND(IF(M83&lt;0.08,M83*'Reference Curves'!$AG$118+'Reference Curves'!$AG$119,
M83*'Reference Curves'!$AF$118+'Reference Curves'!$AF$119),2)
)))</f>
        <v/>
      </c>
      <c r="N113" s="164" t="str">
        <f>IF(N83="","",
IF(N83&gt;=0.2,0,
IF(N83&lt;=0.04,1,
ROUND(IF(N83&lt;0.08,N83*'Reference Curves'!$AG$118+'Reference Curves'!$AG$119,
N83*'Reference Curves'!$AF$118+'Reference Curves'!$AF$119),2)
)))</f>
        <v/>
      </c>
      <c r="O113" s="164" t="str">
        <f>IF(O83="","",
IF(O83&gt;=0.2,0,
IF(O83&lt;=0.04,1,
ROUND(IF(O83&lt;0.08,O83*'Reference Curves'!$AG$118+'Reference Curves'!$AG$119,
O83*'Reference Curves'!$AF$118+'Reference Curves'!$AF$119),2)
)))</f>
        <v/>
      </c>
    </row>
    <row r="114" spans="1:15" ht="15.75" x14ac:dyDescent="0.5">
      <c r="A114" s="560"/>
      <c r="B114" s="568" t="s">
        <v>397</v>
      </c>
      <c r="C114" s="346" t="s">
        <v>409</v>
      </c>
      <c r="D114" s="347"/>
      <c r="E114" s="162" t="str">
        <f>IF(E84="","",
IF(E84&gt;=100,0,
IF(E84&lt;=10,1,
ROUND(IF(E84&lt;50,E84*'Reference Curves'!$AG$152+'Reference Curves'!$AG$153,
E84*'Reference Curves'!$AF$152+'Reference Curves'!$AF$153),2)
)))</f>
        <v/>
      </c>
      <c r="F114" s="162" t="str">
        <f>IF(F84="","",
IF(F84&gt;=100,0,
IF(F84&lt;=10,1,
ROUND(IF(F84&lt;50,F84*'Reference Curves'!$AG$152+'Reference Curves'!$AG$153,
F84*'Reference Curves'!$AF$152+'Reference Curves'!$AF$153),2)
)))</f>
        <v/>
      </c>
      <c r="G114" s="162" t="str">
        <f>IF(G84="","",
IF(G84&gt;=100,0,
IF(G84&lt;=10,1,
ROUND(IF(G84&lt;50,G84*'Reference Curves'!$AG$152+'Reference Curves'!$AG$153,
G84*'Reference Curves'!$AF$152+'Reference Curves'!$AF$153),2)
)))</f>
        <v/>
      </c>
      <c r="H114" s="162" t="str">
        <f>IF(H84="","",
IF(H84&gt;=100,0,
IF(H84&lt;=10,1,
ROUND(IF(H84&lt;50,H84*'Reference Curves'!$AG$152+'Reference Curves'!$AG$153,
H84*'Reference Curves'!$AF$152+'Reference Curves'!$AF$153),2)
)))</f>
        <v/>
      </c>
      <c r="I114" s="162" t="str">
        <f>IF(I84="","",
IF(I84&gt;=100,0,
IF(I84&lt;=10,1,
ROUND(IF(I84&lt;50,I84*'Reference Curves'!$AG$152+'Reference Curves'!$AG$153,
I84*'Reference Curves'!$AF$152+'Reference Curves'!$AF$153),2)
)))</f>
        <v/>
      </c>
      <c r="J114" s="162" t="str">
        <f>IF(J84="","",
IF(J84&gt;=100,0,
IF(J84&lt;=10,1,
ROUND(IF(J84&lt;50,J84*'Reference Curves'!$AG$152+'Reference Curves'!$AG$153,
J84*'Reference Curves'!$AF$152+'Reference Curves'!$AF$153),2)
)))</f>
        <v/>
      </c>
      <c r="K114" s="162" t="str">
        <f>IF(K84="","",
IF(K84&gt;=100,0,
IF(K84&lt;=10,1,
ROUND(IF(K84&lt;50,K84*'Reference Curves'!$AG$152+'Reference Curves'!$AG$153,
K84*'Reference Curves'!$AF$152+'Reference Curves'!$AF$153),2)
)))</f>
        <v/>
      </c>
      <c r="L114" s="162" t="str">
        <f>IF(L84="","",
IF(L84&gt;=100,0,
IF(L84&lt;=10,1,
ROUND(IF(L84&lt;50,L84*'Reference Curves'!$AG$152+'Reference Curves'!$AG$153,
L84*'Reference Curves'!$AF$152+'Reference Curves'!$AF$153),2)
)))</f>
        <v/>
      </c>
      <c r="M114" s="162" t="str">
        <f>IF(M84="","",
IF(M84&gt;=100,0,
IF(M84&lt;=10,1,
ROUND(IF(M84&lt;50,M84*'Reference Curves'!$AG$152+'Reference Curves'!$AG$153,
M84*'Reference Curves'!$AF$152+'Reference Curves'!$AF$153),2)
)))</f>
        <v/>
      </c>
      <c r="N114" s="162" t="str">
        <f>IF(N84="","",
IF(N84&gt;=100,0,
IF(N84&lt;=10,1,
ROUND(IF(N84&lt;50,N84*'Reference Curves'!$AG$152+'Reference Curves'!$AG$153,
N84*'Reference Curves'!$AF$152+'Reference Curves'!$AF$153),2)
)))</f>
        <v/>
      </c>
      <c r="O114" s="162" t="str">
        <f>IF(O84="","",
IF(O84&gt;=100,0,
IF(O84&lt;=10,1,
ROUND(IF(O84&lt;50,O84*'Reference Curves'!$AG$152+'Reference Curves'!$AG$153,
O84*'Reference Curves'!$AF$152+'Reference Curves'!$AF$153),2)
)))</f>
        <v/>
      </c>
    </row>
    <row r="115" spans="1:15" ht="15.75" x14ac:dyDescent="0.5">
      <c r="A115" s="569"/>
      <c r="B115" s="512"/>
      <c r="C115" s="344" t="s">
        <v>399</v>
      </c>
      <c r="D115" s="349"/>
      <c r="E115" s="163" t="str">
        <f>IF(E85="","",
IF(E85&gt;=100,0,
IF(E85&lt;=10,1,
ROUND(IF(E85&lt;50,E85*'Reference Curves'!$AG$152+'Reference Curves'!$AG$153,
E85*'Reference Curves'!$AF$152+'Reference Curves'!$AF$153),2)
)))</f>
        <v/>
      </c>
      <c r="F115" s="163" t="str">
        <f>IF(F85="","",
IF(F85&gt;=100,0,
IF(F85&lt;=10,1,
ROUND(IF(F85&lt;50,F85*'Reference Curves'!$AG$152+'Reference Curves'!$AG$153,
F85*'Reference Curves'!$AF$152+'Reference Curves'!$AF$153),2)
)))</f>
        <v/>
      </c>
      <c r="G115" s="163" t="str">
        <f>IF(G85="","",
IF(G85&gt;=100,0,
IF(G85&lt;=10,1,
ROUND(IF(G85&lt;50,G85*'Reference Curves'!$AG$152+'Reference Curves'!$AG$153,
G85*'Reference Curves'!$AF$152+'Reference Curves'!$AF$153),2)
)))</f>
        <v/>
      </c>
      <c r="H115" s="163" t="str">
        <f>IF(H85="","",
IF(H85&gt;=100,0,
IF(H85&lt;=10,1,
ROUND(IF(H85&lt;50,H85*'Reference Curves'!$AG$152+'Reference Curves'!$AG$153,
H85*'Reference Curves'!$AF$152+'Reference Curves'!$AF$153),2)
)))</f>
        <v/>
      </c>
      <c r="I115" s="163" t="str">
        <f>IF(I85="","",
IF(I85&gt;=100,0,
IF(I85&lt;=10,1,
ROUND(IF(I85&lt;50,I85*'Reference Curves'!$AG$152+'Reference Curves'!$AG$153,
I85*'Reference Curves'!$AF$152+'Reference Curves'!$AF$153),2)
)))</f>
        <v/>
      </c>
      <c r="J115" s="163" t="str">
        <f>IF(J85="","",
IF(J85&gt;=100,0,
IF(J85&lt;=10,1,
ROUND(IF(J85&lt;50,J85*'Reference Curves'!$AG$152+'Reference Curves'!$AG$153,
J85*'Reference Curves'!$AF$152+'Reference Curves'!$AF$153),2)
)))</f>
        <v/>
      </c>
      <c r="K115" s="163" t="str">
        <f>IF(K85="","",
IF(K85&gt;=100,0,
IF(K85&lt;=10,1,
ROUND(IF(K85&lt;50,K85*'Reference Curves'!$AG$152+'Reference Curves'!$AG$153,
K85*'Reference Curves'!$AF$152+'Reference Curves'!$AF$153),2)
)))</f>
        <v/>
      </c>
      <c r="L115" s="163" t="str">
        <f>IF(L85="","",
IF(L85&gt;=100,0,
IF(L85&lt;=10,1,
ROUND(IF(L85&lt;50,L85*'Reference Curves'!$AG$152+'Reference Curves'!$AG$153,
L85*'Reference Curves'!$AF$152+'Reference Curves'!$AF$153),2)
)))</f>
        <v/>
      </c>
      <c r="M115" s="163" t="str">
        <f>IF(M85="","",
IF(M85&gt;=100,0,
IF(M85&lt;=10,1,
ROUND(IF(M85&lt;50,M85*'Reference Curves'!$AG$152+'Reference Curves'!$AG$153,
M85*'Reference Curves'!$AF$152+'Reference Curves'!$AF$153),2)
)))</f>
        <v/>
      </c>
      <c r="N115" s="163" t="str">
        <f>IF(N85="","",
IF(N85&gt;=100,0,
IF(N85&lt;=10,1,
ROUND(IF(N85&lt;50,N85*'Reference Curves'!$AG$152+'Reference Curves'!$AG$153,
N85*'Reference Curves'!$AF$152+'Reference Curves'!$AF$153),2)
)))</f>
        <v/>
      </c>
      <c r="O115" s="163" t="str">
        <f>IF(O85="","",
IF(O85&gt;=100,0,
IF(O85&lt;=10,1,
ROUND(IF(O85&lt;50,O85*'Reference Curves'!$AG$152+'Reference Curves'!$AG$153,
O85*'Reference Curves'!$AF$152+'Reference Curves'!$AF$153),2)
)))</f>
        <v/>
      </c>
    </row>
    <row r="116" spans="1:15" ht="15.95" customHeight="1" x14ac:dyDescent="0.5">
      <c r="A116" s="303" t="s">
        <v>50</v>
      </c>
      <c r="B116" s="305" t="s">
        <v>157</v>
      </c>
      <c r="C116" s="228" t="s">
        <v>114</v>
      </c>
      <c r="D116" s="38"/>
      <c r="E116" s="306" t="str">
        <f>IF(E86="","",
IF($C$7="Blue Ridge Mountains",
ROUND(IF(E86&lt;=0,0,
IF(E86&gt;=36,1,
IF(E86&lt;=19,E86*'Reference Curves'!$AO$15+'Reference Curves'!$AO$16,
IF(E86&gt;=28, E86*'Reference Curves'!$AQ$15+'Reference Curves'!$AQ$16,
E86*'Reference Curves'!$AP$15+'Reference Curves'!$AP$16 )))),2),
IF($C$7="Piedmont",
ROUND(IF(E86&lt;=0,0,
IF(E86&gt;=28,1,
IF(E86&lt;=14,E86*'Reference Curves'!$AO$49+'Reference Curves'!$AO$50,
IF(E86&gt;=21, E86*'Reference Curves'!$AQ$49+'Reference Curves'!$AQ$50,
E86*'Reference Curves'!$AP$49+'Reference Curves'!$AP$50 )))),2),
IF(OR($C$7="Southeastern Plains",$C$7="Middle Atlantic Coastal Plain"),
ROUND(IF(E86&lt;=0,0,
IF(E86&gt;=15,1,
IF(E86&lt;=5, E86*'Reference Curves'!$AO$83+'Reference Curves'!$AO$84,
IF(E86&gt;=10,E86*'Reference Curves'!$AQ$83+'Reference Curves'!$AQ$84,
E86*'Reference Curves'!$AP$83+'Reference Curves'!$AP$84)))),2)))))</f>
        <v/>
      </c>
      <c r="F116" s="306" t="str">
        <f>IF(F86="","",
IF($C$7="Blue Ridge Mountains",
ROUND(IF(F86&lt;=0,0,
IF(F86&gt;=36,1,
IF(F86&lt;=19,F86*'Reference Curves'!$AO$15+'Reference Curves'!$AO$16,
IF(F86&gt;=28, F86*'Reference Curves'!$AQ$15+'Reference Curves'!$AQ$16,
F86*'Reference Curves'!$AP$15+'Reference Curves'!$AP$16 )))),2),
IF($C$7="Piedmont",
ROUND(IF(F86&lt;=0,0,
IF(F86&gt;=28,1,
IF(F86&lt;=14,F86*'Reference Curves'!$AO$49+'Reference Curves'!$AO$50,
IF(F86&gt;=21, F86*'Reference Curves'!$AQ$49+'Reference Curves'!$AQ$50,
F86*'Reference Curves'!$AP$49+'Reference Curves'!$AP$50 )))),2),
IF(OR($C$7="Southeastern Plains",$C$7="Middle Atlantic Coastal Plain"),
ROUND(IF(F86&lt;=0,0,
IF(F86&gt;=15,1,
IF(F86&lt;=5, F86*'Reference Curves'!$AO$83+'Reference Curves'!$AO$84,
IF(F86&gt;=10,F86*'Reference Curves'!$AQ$83+'Reference Curves'!$AQ$84,
F86*'Reference Curves'!$AP$83+'Reference Curves'!$AP$84)))),2)))))</f>
        <v/>
      </c>
      <c r="G116" s="306" t="str">
        <f>IF(G86="","",
IF($C$7="Blue Ridge Mountains",
ROUND(IF(G86&lt;=0,0,
IF(G86&gt;=36,1,
IF(G86&lt;=19,G86*'Reference Curves'!$AO$15+'Reference Curves'!$AO$16,
IF(G86&gt;=28, G86*'Reference Curves'!$AQ$15+'Reference Curves'!$AQ$16,
G86*'Reference Curves'!$AP$15+'Reference Curves'!$AP$16 )))),2),
IF($C$7="Piedmont",
ROUND(IF(G86&lt;=0,0,
IF(G86&gt;=28,1,
IF(G86&lt;=14,G86*'Reference Curves'!$AO$49+'Reference Curves'!$AO$50,
IF(G86&gt;=21, G86*'Reference Curves'!$AQ$49+'Reference Curves'!$AQ$50,
G86*'Reference Curves'!$AP$49+'Reference Curves'!$AP$50 )))),2),
IF(OR($C$7="Southeastern Plains",$C$7="Middle Atlantic Coastal Plain"),
ROUND(IF(G86&lt;=0,0,
IF(G86&gt;=15,1,
IF(G86&lt;=5, G86*'Reference Curves'!$AO$83+'Reference Curves'!$AO$84,
IF(G86&gt;=10,G86*'Reference Curves'!$AQ$83+'Reference Curves'!$AQ$84,
G86*'Reference Curves'!$AP$83+'Reference Curves'!$AP$84)))),2)))))</f>
        <v/>
      </c>
      <c r="H116" s="306" t="str">
        <f>IF(H86="","",
IF($C$7="Blue Ridge Mountains",
ROUND(IF(H86&lt;=0,0,
IF(H86&gt;=36,1,
IF(H86&lt;=19,H86*'Reference Curves'!$AO$15+'Reference Curves'!$AO$16,
IF(H86&gt;=28, H86*'Reference Curves'!$AQ$15+'Reference Curves'!$AQ$16,
H86*'Reference Curves'!$AP$15+'Reference Curves'!$AP$16 )))),2),
IF($C$7="Piedmont",
ROUND(IF(H86&lt;=0,0,
IF(H86&gt;=28,1,
IF(H86&lt;=14,H86*'Reference Curves'!$AO$49+'Reference Curves'!$AO$50,
IF(H86&gt;=21, H86*'Reference Curves'!$AQ$49+'Reference Curves'!$AQ$50,
H86*'Reference Curves'!$AP$49+'Reference Curves'!$AP$50 )))),2),
IF(OR($C$7="Southeastern Plains",$C$7="Middle Atlantic Coastal Plain"),
ROUND(IF(H86&lt;=0,0,
IF(H86&gt;=15,1,
IF(H86&lt;=5, H86*'Reference Curves'!$AO$83+'Reference Curves'!$AO$84,
IF(H86&gt;=10,H86*'Reference Curves'!$AQ$83+'Reference Curves'!$AQ$84,
H86*'Reference Curves'!$AP$83+'Reference Curves'!$AP$84)))),2)))))</f>
        <v/>
      </c>
      <c r="I116" s="306" t="str">
        <f>IF(I86="","",
IF($C$7="Blue Ridge Mountains",
ROUND(IF(I86&lt;=0,0,
IF(I86&gt;=36,1,
IF(I86&lt;=19,I86*'Reference Curves'!$AO$15+'Reference Curves'!$AO$16,
IF(I86&gt;=28, I86*'Reference Curves'!$AQ$15+'Reference Curves'!$AQ$16,
I86*'Reference Curves'!$AP$15+'Reference Curves'!$AP$16 )))),2),
IF($C$7="Piedmont",
ROUND(IF(I86&lt;=0,0,
IF(I86&gt;=28,1,
IF(I86&lt;=14,I86*'Reference Curves'!$AO$49+'Reference Curves'!$AO$50,
IF(I86&gt;=21, I86*'Reference Curves'!$AQ$49+'Reference Curves'!$AQ$50,
I86*'Reference Curves'!$AP$49+'Reference Curves'!$AP$50 )))),2),
IF(OR($C$7="Southeastern Plains",$C$7="Middle Atlantic Coastal Plain"),
ROUND(IF(I86&lt;=0,0,
IF(I86&gt;=15,1,
IF(I86&lt;=5, I86*'Reference Curves'!$AO$83+'Reference Curves'!$AO$84,
IF(I86&gt;=10,I86*'Reference Curves'!$AQ$83+'Reference Curves'!$AQ$84,
I86*'Reference Curves'!$AP$83+'Reference Curves'!$AP$84)))),2)))))</f>
        <v/>
      </c>
      <c r="J116" s="306" t="str">
        <f>IF(J86="","",
IF($C$7="Blue Ridge Mountains",
ROUND(IF(J86&lt;=0,0,
IF(J86&gt;=36,1,
IF(J86&lt;=19,J86*'Reference Curves'!$AO$15+'Reference Curves'!$AO$16,
IF(J86&gt;=28, J86*'Reference Curves'!$AQ$15+'Reference Curves'!$AQ$16,
J86*'Reference Curves'!$AP$15+'Reference Curves'!$AP$16 )))),2),
IF($C$7="Piedmont",
ROUND(IF(J86&lt;=0,0,
IF(J86&gt;=28,1,
IF(J86&lt;=14,J86*'Reference Curves'!$AO$49+'Reference Curves'!$AO$50,
IF(J86&gt;=21, J86*'Reference Curves'!$AQ$49+'Reference Curves'!$AQ$50,
J86*'Reference Curves'!$AP$49+'Reference Curves'!$AP$50 )))),2),
IF(OR($C$7="Southeastern Plains",$C$7="Middle Atlantic Coastal Plain"),
ROUND(IF(J86&lt;=0,0,
IF(J86&gt;=15,1,
IF(J86&lt;=5, J86*'Reference Curves'!$AO$83+'Reference Curves'!$AO$84,
IF(J86&gt;=10,J86*'Reference Curves'!$AQ$83+'Reference Curves'!$AQ$84,
J86*'Reference Curves'!$AP$83+'Reference Curves'!$AP$84)))),2)))))</f>
        <v/>
      </c>
      <c r="K116" s="306" t="str">
        <f>IF(K86="","",
IF($C$7="Blue Ridge Mountains",
ROUND(IF(K86&lt;=0,0,
IF(K86&gt;=36,1,
IF(K86&lt;=19,K86*'Reference Curves'!$AO$15+'Reference Curves'!$AO$16,
IF(K86&gt;=28, K86*'Reference Curves'!$AQ$15+'Reference Curves'!$AQ$16,
K86*'Reference Curves'!$AP$15+'Reference Curves'!$AP$16 )))),2),
IF($C$7="Piedmont",
ROUND(IF(K86&lt;=0,0,
IF(K86&gt;=28,1,
IF(K86&lt;=14,K86*'Reference Curves'!$AO$49+'Reference Curves'!$AO$50,
IF(K86&gt;=21, K86*'Reference Curves'!$AQ$49+'Reference Curves'!$AQ$50,
K86*'Reference Curves'!$AP$49+'Reference Curves'!$AP$50 )))),2),
IF(OR($C$7="Southeastern Plains",$C$7="Middle Atlantic Coastal Plain"),
ROUND(IF(K86&lt;=0,0,
IF(K86&gt;=15,1,
IF(K86&lt;=5, K86*'Reference Curves'!$AO$83+'Reference Curves'!$AO$84,
IF(K86&gt;=10,K86*'Reference Curves'!$AQ$83+'Reference Curves'!$AQ$84,
K86*'Reference Curves'!$AP$83+'Reference Curves'!$AP$84)))),2)))))</f>
        <v/>
      </c>
      <c r="L116" s="306" t="str">
        <f>IF(L86="","",
IF($C$7="Blue Ridge Mountains",
ROUND(IF(L86&lt;=0,0,
IF(L86&gt;=36,1,
IF(L86&lt;=19,L86*'Reference Curves'!$AO$15+'Reference Curves'!$AO$16,
IF(L86&gt;=28, L86*'Reference Curves'!$AQ$15+'Reference Curves'!$AQ$16,
L86*'Reference Curves'!$AP$15+'Reference Curves'!$AP$16 )))),2),
IF($C$7="Piedmont",
ROUND(IF(L86&lt;=0,0,
IF(L86&gt;=28,1,
IF(L86&lt;=14,L86*'Reference Curves'!$AO$49+'Reference Curves'!$AO$50,
IF(L86&gt;=21, L86*'Reference Curves'!$AQ$49+'Reference Curves'!$AQ$50,
L86*'Reference Curves'!$AP$49+'Reference Curves'!$AP$50 )))),2),
IF(OR($C$7="Southeastern Plains",$C$7="Middle Atlantic Coastal Plain"),
ROUND(IF(L86&lt;=0,0,
IF(L86&gt;=15,1,
IF(L86&lt;=5, L86*'Reference Curves'!$AO$83+'Reference Curves'!$AO$84,
IF(L86&gt;=10,L86*'Reference Curves'!$AQ$83+'Reference Curves'!$AQ$84,
L86*'Reference Curves'!$AP$83+'Reference Curves'!$AP$84)))),2)))))</f>
        <v/>
      </c>
      <c r="M116" s="306" t="str">
        <f>IF(M86="","",
IF($C$7="Blue Ridge Mountains",
ROUND(IF(M86&lt;=0,0,
IF(M86&gt;=36,1,
IF(M86&lt;=19,M86*'Reference Curves'!$AO$15+'Reference Curves'!$AO$16,
IF(M86&gt;=28, M86*'Reference Curves'!$AQ$15+'Reference Curves'!$AQ$16,
M86*'Reference Curves'!$AP$15+'Reference Curves'!$AP$16 )))),2),
IF($C$7="Piedmont",
ROUND(IF(M86&lt;=0,0,
IF(M86&gt;=28,1,
IF(M86&lt;=14,M86*'Reference Curves'!$AO$49+'Reference Curves'!$AO$50,
IF(M86&gt;=21, M86*'Reference Curves'!$AQ$49+'Reference Curves'!$AQ$50,
M86*'Reference Curves'!$AP$49+'Reference Curves'!$AP$50 )))),2),
IF(OR($C$7="Southeastern Plains",$C$7="Middle Atlantic Coastal Plain"),
ROUND(IF(M86&lt;=0,0,
IF(M86&gt;=15,1,
IF(M86&lt;=5, M86*'Reference Curves'!$AO$83+'Reference Curves'!$AO$84,
IF(M86&gt;=10,M86*'Reference Curves'!$AQ$83+'Reference Curves'!$AQ$84,
M86*'Reference Curves'!$AP$83+'Reference Curves'!$AP$84)))),2)))))</f>
        <v/>
      </c>
      <c r="N116" s="306" t="str">
        <f>IF(N86="","",
IF($C$7="Blue Ridge Mountains",
ROUND(IF(N86&lt;=0,0,
IF(N86&gt;=36,1,
IF(N86&lt;=19,N86*'Reference Curves'!$AO$15+'Reference Curves'!$AO$16,
IF(N86&gt;=28, N86*'Reference Curves'!$AQ$15+'Reference Curves'!$AQ$16,
N86*'Reference Curves'!$AP$15+'Reference Curves'!$AP$16 )))),2),
IF($C$7="Piedmont",
ROUND(IF(N86&lt;=0,0,
IF(N86&gt;=28,1,
IF(N86&lt;=14,N86*'Reference Curves'!$AO$49+'Reference Curves'!$AO$50,
IF(N86&gt;=21, N86*'Reference Curves'!$AQ$49+'Reference Curves'!$AQ$50,
N86*'Reference Curves'!$AP$49+'Reference Curves'!$AP$50 )))),2),
IF(OR($C$7="Southeastern Plains",$C$7="Middle Atlantic Coastal Plain"),
ROUND(IF(N86&lt;=0,0,
IF(N86&gt;=15,1,
IF(N86&lt;=5, N86*'Reference Curves'!$AO$83+'Reference Curves'!$AO$84,
IF(N86&gt;=10,N86*'Reference Curves'!$AQ$83+'Reference Curves'!$AQ$84,
N86*'Reference Curves'!$AP$83+'Reference Curves'!$AP$84)))),2)))))</f>
        <v/>
      </c>
      <c r="O116" s="306" t="str">
        <f>IF(O86="","",
IF($C$7="Blue Ridge Mountains",
ROUND(IF(O86&lt;=0,0,
IF(O86&gt;=36,1,
IF(O86&lt;=19,O86*'Reference Curves'!$AO$15+'Reference Curves'!$AO$16,
IF(O86&gt;=28, O86*'Reference Curves'!$AQ$15+'Reference Curves'!$AQ$16,
O86*'Reference Curves'!$AP$15+'Reference Curves'!$AP$16 )))),2),
IF($C$7="Piedmont",
ROUND(IF(O86&lt;=0,0,
IF(O86&gt;=28,1,
IF(O86&lt;=14,O86*'Reference Curves'!$AO$49+'Reference Curves'!$AO$50,
IF(O86&gt;=21, O86*'Reference Curves'!$AQ$49+'Reference Curves'!$AQ$50,
O86*'Reference Curves'!$AP$49+'Reference Curves'!$AP$50 )))),2),
IF(OR($C$7="Southeastern Plains",$C$7="Middle Atlantic Coastal Plain"),
ROUND(IF(O86&lt;=0,0,
IF(O86&gt;=15,1,
IF(O86&lt;=5, O86*'Reference Curves'!$AO$83+'Reference Curves'!$AO$84,
IF(O86&gt;=10,O86*'Reference Curves'!$AQ$83+'Reference Curves'!$AQ$84,
O86*'Reference Curves'!$AP$83+'Reference Curves'!$AP$84)))),2)))))</f>
        <v/>
      </c>
    </row>
    <row r="117" spans="1:15" ht="15.75" x14ac:dyDescent="0.5">
      <c r="A117" s="304"/>
      <c r="B117" s="300" t="s">
        <v>75</v>
      </c>
      <c r="C117" s="38" t="s">
        <v>390</v>
      </c>
      <c r="D117" s="38"/>
      <c r="E117" s="142" t="str">
        <f>IF(E87="","",
IF($C$23="1 - Upland Santee/Pee-Dee Basin",
IF(E87&lt;-1,0,
IF(E87&gt;=1,1,
ROUND(IF(E87&gt;=0.05,E87*'Reference Curves'!$AP$116+'Reference Curves'!$AP$117,
E87*'Reference Curves'!$AO$116+'Reference Curves'!$AO$117),2))),
IF($C$23="2 - Upland Savannah",
IF(E87&lt;-1,0,
IF(E87&gt;=1,1,
ROUND(IF(E87&gt;=0.002,E87*'Reference Curves'!$AP$150+'Reference Curves'!$AP$151,
E87*'Reference Curves'!$AO$150+'Reference Curves'!$AO$151),2))),
IF($C$23="3 - Lowland Perennial",
IF(E87&lt;-1,0,
IF(E87&gt;=1,1,
ROUND(IF(E87&gt;=0.005,E87*'Reference Curves'!$AP$185+'Reference Curves'!$AP$186,
E87*'Reference Curves'!$AO$185+'Reference Curves'!$AO$186),2))),
IF($C$23= "4 - Lowland Stable Baseflow",
IF(E87&lt;-1,0,
IF(E87&gt;=1,1,
ROUND(IF(E87&gt;=0.3,E87*'Reference Curves'!$AP$219+'Reference Curves'!$AP$220,
E87*'Reference Curves'!$AO$219+'Reference Curves'!$AO$220),2))))))))</f>
        <v/>
      </c>
      <c r="F117" s="142" t="str">
        <f>IF(F87="","",
IF($C$23="1 - Upland Santee/Pee-Dee Basin",
IF(F87&lt;-1,0,
IF(F87&gt;=1,1,
ROUND(IF(F87&gt;=0.05,F87*'Reference Curves'!$AP$116+'Reference Curves'!$AP$117,
F87*'Reference Curves'!$AO$116+'Reference Curves'!$AO$117),2))),
IF($C$23="2 - Upland Savannah",
IF(F87&lt;-1,0,
IF(F87&gt;=1,1,
ROUND(IF(F87&gt;=0.002,F87*'Reference Curves'!$AP$150+'Reference Curves'!$AP$151,
F87*'Reference Curves'!$AO$150+'Reference Curves'!$AO$151),2))),
IF($C$23="3 - Lowland Perennial",
IF(F87&lt;-1,0,
IF(F87&gt;=1,1,
ROUND(IF(F87&gt;=0.005,F87*'Reference Curves'!$AP$185+'Reference Curves'!$AP$186,
F87*'Reference Curves'!$AO$185+'Reference Curves'!$AO$186),2))),
IF($C$23= "4 - Lowland Stable Baseflow",
IF(F87&lt;-1,0,
IF(F87&gt;=1,1,
ROUND(IF(F87&gt;=0.3,F87*'Reference Curves'!$AP$219+'Reference Curves'!$AP$220,
F87*'Reference Curves'!$AO$219+'Reference Curves'!$AO$220),2))))))))</f>
        <v/>
      </c>
      <c r="G117" s="142" t="str">
        <f>IF(G87="","",
IF($C$23="1 - Upland Santee/Pee-Dee Basin",
IF(G87&lt;-1,0,
IF(G87&gt;=1,1,
ROUND(IF(G87&gt;=0.05,G87*'Reference Curves'!$AP$116+'Reference Curves'!$AP$117,
G87*'Reference Curves'!$AO$116+'Reference Curves'!$AO$117),2))),
IF($C$23="2 - Upland Savannah",
IF(G87&lt;-1,0,
IF(G87&gt;=1,1,
ROUND(IF(G87&gt;=0.002,G87*'Reference Curves'!$AP$150+'Reference Curves'!$AP$151,
G87*'Reference Curves'!$AO$150+'Reference Curves'!$AO$151),2))),
IF($C$23="3 - Lowland Perennial",
IF(G87&lt;-1,0,
IF(G87&gt;=1,1,
ROUND(IF(G87&gt;=0.005,G87*'Reference Curves'!$AP$185+'Reference Curves'!$AP$186,
G87*'Reference Curves'!$AO$185+'Reference Curves'!$AO$186),2))),
IF($C$23= "4 - Lowland Stable Baseflow",
IF(G87&lt;-1,0,
IF(G87&gt;=1,1,
ROUND(IF(G87&gt;=0.3,G87*'Reference Curves'!$AP$219+'Reference Curves'!$AP$220,
G87*'Reference Curves'!$AO$219+'Reference Curves'!$AO$220),2))))))))</f>
        <v/>
      </c>
      <c r="H117" s="142" t="str">
        <f>IF(H87="","",
IF($C$23="1 - Upland Santee/Pee-Dee Basin",
IF(H87&lt;-1,0,
IF(H87&gt;=1,1,
ROUND(IF(H87&gt;=0.05,H87*'Reference Curves'!$AP$116+'Reference Curves'!$AP$117,
H87*'Reference Curves'!$AO$116+'Reference Curves'!$AO$117),2))),
IF($C$23="2 - Upland Savannah",
IF(H87&lt;-1,0,
IF(H87&gt;=1,1,
ROUND(IF(H87&gt;=0.002,H87*'Reference Curves'!$AP$150+'Reference Curves'!$AP$151,
H87*'Reference Curves'!$AO$150+'Reference Curves'!$AO$151),2))),
IF($C$23="3 - Lowland Perennial",
IF(H87&lt;-1,0,
IF(H87&gt;=1,1,
ROUND(IF(H87&gt;=0.005,H87*'Reference Curves'!$AP$185+'Reference Curves'!$AP$186,
H87*'Reference Curves'!$AO$185+'Reference Curves'!$AO$186),2))),
IF($C$23= "4 - Lowland Stable Baseflow",
IF(H87&lt;-1,0,
IF(H87&gt;=1,1,
ROUND(IF(H87&gt;=0.3,H87*'Reference Curves'!$AP$219+'Reference Curves'!$AP$220,
H87*'Reference Curves'!$AO$219+'Reference Curves'!$AO$220),2))))))))</f>
        <v/>
      </c>
      <c r="I117" s="142" t="str">
        <f>IF(I87="","",
IF($C$23="1 - Upland Santee/Pee-Dee Basin",
IF(I87&lt;-1,0,
IF(I87&gt;=1,1,
ROUND(IF(I87&gt;=0.05,I87*'Reference Curves'!$AP$116+'Reference Curves'!$AP$117,
I87*'Reference Curves'!$AO$116+'Reference Curves'!$AO$117),2))),
IF($C$23="2 - Upland Savannah",
IF(I87&lt;-1,0,
IF(I87&gt;=1,1,
ROUND(IF(I87&gt;=0.002,I87*'Reference Curves'!$AP$150+'Reference Curves'!$AP$151,
I87*'Reference Curves'!$AO$150+'Reference Curves'!$AO$151),2))),
IF($C$23="3 - Lowland Perennial",
IF(I87&lt;-1,0,
IF(I87&gt;=1,1,
ROUND(IF(I87&gt;=0.005,I87*'Reference Curves'!$AP$185+'Reference Curves'!$AP$186,
I87*'Reference Curves'!$AO$185+'Reference Curves'!$AO$186),2))),
IF($C$23= "4 - Lowland Stable Baseflow",
IF(I87&lt;-1,0,
IF(I87&gt;=1,1,
ROUND(IF(I87&gt;=0.3,I87*'Reference Curves'!$AP$219+'Reference Curves'!$AP$220,
I87*'Reference Curves'!$AO$219+'Reference Curves'!$AO$220),2))))))))</f>
        <v/>
      </c>
      <c r="J117" s="142" t="str">
        <f>IF(J87="","",
IF($C$23="1 - Upland Santee/Pee-Dee Basin",
IF(J87&lt;-1,0,
IF(J87&gt;=1,1,
ROUND(IF(J87&gt;=0.05,J87*'Reference Curves'!$AP$116+'Reference Curves'!$AP$117,
J87*'Reference Curves'!$AO$116+'Reference Curves'!$AO$117),2))),
IF($C$23="2 - Upland Savannah",
IF(J87&lt;-1,0,
IF(J87&gt;=1,1,
ROUND(IF(J87&gt;=0.002,J87*'Reference Curves'!$AP$150+'Reference Curves'!$AP$151,
J87*'Reference Curves'!$AO$150+'Reference Curves'!$AO$151),2))),
IF($C$23="3 - Lowland Perennial",
IF(J87&lt;-1,0,
IF(J87&gt;=1,1,
ROUND(IF(J87&gt;=0.005,J87*'Reference Curves'!$AP$185+'Reference Curves'!$AP$186,
J87*'Reference Curves'!$AO$185+'Reference Curves'!$AO$186),2))),
IF($C$23= "4 - Lowland Stable Baseflow",
IF(J87&lt;-1,0,
IF(J87&gt;=1,1,
ROUND(IF(J87&gt;=0.3,J87*'Reference Curves'!$AP$219+'Reference Curves'!$AP$220,
J87*'Reference Curves'!$AO$219+'Reference Curves'!$AO$220),2))))))))</f>
        <v/>
      </c>
      <c r="K117" s="142" t="str">
        <f>IF(K87="","",
IF($C$23="1 - Upland Santee/Pee-Dee Basin",
IF(K87&lt;-1,0,
IF(K87&gt;=1,1,
ROUND(IF(K87&gt;=0.05,K87*'Reference Curves'!$AP$116+'Reference Curves'!$AP$117,
K87*'Reference Curves'!$AO$116+'Reference Curves'!$AO$117),2))),
IF($C$23="2 - Upland Savannah",
IF(K87&lt;-1,0,
IF(K87&gt;=1,1,
ROUND(IF(K87&gt;=0.002,K87*'Reference Curves'!$AP$150+'Reference Curves'!$AP$151,
K87*'Reference Curves'!$AO$150+'Reference Curves'!$AO$151),2))),
IF($C$23="3 - Lowland Perennial",
IF(K87&lt;-1,0,
IF(K87&gt;=1,1,
ROUND(IF(K87&gt;=0.005,K87*'Reference Curves'!$AP$185+'Reference Curves'!$AP$186,
K87*'Reference Curves'!$AO$185+'Reference Curves'!$AO$186),2))),
IF($C$23= "4 - Lowland Stable Baseflow",
IF(K87&lt;-1,0,
IF(K87&gt;=1,1,
ROUND(IF(K87&gt;=0.3,K87*'Reference Curves'!$AP$219+'Reference Curves'!$AP$220,
K87*'Reference Curves'!$AO$219+'Reference Curves'!$AO$220),2))))))))</f>
        <v/>
      </c>
      <c r="L117" s="142" t="str">
        <f>IF(L87="","",
IF($C$23="1 - Upland Santee/Pee-Dee Basin",
IF(L87&lt;-1,0,
IF(L87&gt;=1,1,
ROUND(IF(L87&gt;=0.05,L87*'Reference Curves'!$AP$116+'Reference Curves'!$AP$117,
L87*'Reference Curves'!$AO$116+'Reference Curves'!$AO$117),2))),
IF($C$23="2 - Upland Savannah",
IF(L87&lt;-1,0,
IF(L87&gt;=1,1,
ROUND(IF(L87&gt;=0.002,L87*'Reference Curves'!$AP$150+'Reference Curves'!$AP$151,
L87*'Reference Curves'!$AO$150+'Reference Curves'!$AO$151),2))),
IF($C$23="3 - Lowland Perennial",
IF(L87&lt;-1,0,
IF(L87&gt;=1,1,
ROUND(IF(L87&gt;=0.005,L87*'Reference Curves'!$AP$185+'Reference Curves'!$AP$186,
L87*'Reference Curves'!$AO$185+'Reference Curves'!$AO$186),2))),
IF($C$23= "4 - Lowland Stable Baseflow",
IF(L87&lt;-1,0,
IF(L87&gt;=1,1,
ROUND(IF(L87&gt;=0.3,L87*'Reference Curves'!$AP$219+'Reference Curves'!$AP$220,
L87*'Reference Curves'!$AO$219+'Reference Curves'!$AO$220),2))))))))</f>
        <v/>
      </c>
      <c r="M117" s="142" t="str">
        <f>IF(M87="","",
IF($C$23="1 - Upland Santee/Pee-Dee Basin",
IF(M87&lt;-1,0,
IF(M87&gt;=1,1,
ROUND(IF(M87&gt;=0.05,M87*'Reference Curves'!$AP$116+'Reference Curves'!$AP$117,
M87*'Reference Curves'!$AO$116+'Reference Curves'!$AO$117),2))),
IF($C$23="2 - Upland Savannah",
IF(M87&lt;-1,0,
IF(M87&gt;=1,1,
ROUND(IF(M87&gt;=0.002,M87*'Reference Curves'!$AP$150+'Reference Curves'!$AP$151,
M87*'Reference Curves'!$AO$150+'Reference Curves'!$AO$151),2))),
IF($C$23="3 - Lowland Perennial",
IF(M87&lt;-1,0,
IF(M87&gt;=1,1,
ROUND(IF(M87&gt;=0.005,M87*'Reference Curves'!$AP$185+'Reference Curves'!$AP$186,
M87*'Reference Curves'!$AO$185+'Reference Curves'!$AO$186),2))),
IF($C$23= "4 - Lowland Stable Baseflow",
IF(M87&lt;-1,0,
IF(M87&gt;=1,1,
ROUND(IF(M87&gt;=0.3,M87*'Reference Curves'!$AP$219+'Reference Curves'!$AP$220,
M87*'Reference Curves'!$AO$219+'Reference Curves'!$AO$220),2))))))))</f>
        <v/>
      </c>
      <c r="N117" s="142" t="str">
        <f>IF(N87="","",
IF($C$23="1 - Upland Santee/Pee-Dee Basin",
IF(N87&lt;-1,0,
IF(N87&gt;=1,1,
ROUND(IF(N87&gt;=0.05,N87*'Reference Curves'!$AP$116+'Reference Curves'!$AP$117,
N87*'Reference Curves'!$AO$116+'Reference Curves'!$AO$117),2))),
IF($C$23="2 - Upland Savannah",
IF(N87&lt;-1,0,
IF(N87&gt;=1,1,
ROUND(IF(N87&gt;=0.002,N87*'Reference Curves'!$AP$150+'Reference Curves'!$AP$151,
N87*'Reference Curves'!$AO$150+'Reference Curves'!$AO$151),2))),
IF($C$23="3 - Lowland Perennial",
IF(N87&lt;-1,0,
IF(N87&gt;=1,1,
ROUND(IF(N87&gt;=0.005,N87*'Reference Curves'!$AP$185+'Reference Curves'!$AP$186,
N87*'Reference Curves'!$AO$185+'Reference Curves'!$AO$186),2))),
IF($C$23= "4 - Lowland Stable Baseflow",
IF(N87&lt;-1,0,
IF(N87&gt;=1,1,
ROUND(IF(N87&gt;=0.3,N87*'Reference Curves'!$AP$219+'Reference Curves'!$AP$220,
N87*'Reference Curves'!$AO$219+'Reference Curves'!$AO$220),2))))))))</f>
        <v/>
      </c>
      <c r="O117" s="142" t="str">
        <f>IF(O87="","",
IF($C$23="1 - Upland Santee/Pee-Dee Basin",
IF(O87&lt;-1,0,
IF(O87&gt;=1,1,
ROUND(IF(O87&gt;=0.05,O87*'Reference Curves'!$AP$116+'Reference Curves'!$AP$117,
O87*'Reference Curves'!$AO$116+'Reference Curves'!$AO$117),2))),
IF($C$23="2 - Upland Savannah",
IF(O87&lt;-1,0,
IF(O87&gt;=1,1,
ROUND(IF(O87&gt;=0.002,O87*'Reference Curves'!$AP$150+'Reference Curves'!$AP$151,
O87*'Reference Curves'!$AO$150+'Reference Curves'!$AO$151),2))),
IF($C$23="3 - Lowland Perennial",
IF(O87&lt;-1,0,
IF(O87&gt;=1,1,
ROUND(IF(O87&gt;=0.005,O87*'Reference Curves'!$AP$185+'Reference Curves'!$AP$186,
O87*'Reference Curves'!$AO$185+'Reference Curves'!$AO$186),2))),
IF($C$23= "4 - Lowland Stable Baseflow",
IF(O87&lt;-1,0,
IF(O87&gt;=1,1,
ROUND(IF(O87&gt;=0.3,O87*'Reference Curves'!$AP$219+'Reference Curves'!$AP$220,
O87*'Reference Curves'!$AO$219+'Reference Curves'!$AO$220),2))))))))</f>
        <v/>
      </c>
    </row>
    <row r="118" spans="1:15" ht="15.75" customHeight="1" x14ac:dyDescent="0.45"/>
    <row r="119" spans="1:15" ht="33" customHeight="1" x14ac:dyDescent="0.45">
      <c r="A119" s="127" t="s">
        <v>1</v>
      </c>
      <c r="B119" s="127" t="s">
        <v>2</v>
      </c>
      <c r="C119" s="127" t="s">
        <v>209</v>
      </c>
      <c r="D119" s="127" t="s">
        <v>62</v>
      </c>
      <c r="E119" s="127" t="s">
        <v>208</v>
      </c>
      <c r="F119" s="127">
        <f t="shared" ref="F119:O119" si="4">F57</f>
        <v>0</v>
      </c>
      <c r="G119" s="127">
        <f t="shared" si="4"/>
        <v>0</v>
      </c>
      <c r="H119" s="127">
        <f t="shared" si="4"/>
        <v>0</v>
      </c>
      <c r="I119" s="127">
        <f t="shared" si="4"/>
        <v>0</v>
      </c>
      <c r="J119" s="127">
        <f t="shared" si="4"/>
        <v>0</v>
      </c>
      <c r="K119" s="127">
        <f t="shared" si="4"/>
        <v>0</v>
      </c>
      <c r="L119" s="127">
        <f t="shared" si="4"/>
        <v>0</v>
      </c>
      <c r="M119" s="127">
        <f t="shared" si="4"/>
        <v>0</v>
      </c>
      <c r="N119" s="127">
        <f t="shared" si="4"/>
        <v>0</v>
      </c>
      <c r="O119" s="127">
        <f t="shared" si="4"/>
        <v>0</v>
      </c>
    </row>
    <row r="120" spans="1:15" ht="15.75" customHeight="1" x14ac:dyDescent="0.5">
      <c r="A120" s="114" t="s">
        <v>53</v>
      </c>
      <c r="B120" s="40" t="s">
        <v>122</v>
      </c>
      <c r="C120" s="27" t="str">
        <f>G27</f>
        <v/>
      </c>
      <c r="D120" s="27" t="str">
        <f>K27</f>
        <v/>
      </c>
      <c r="E120" s="143" t="str">
        <f t="shared" ref="E120:O120" si="5">IFERROR(AVERAGE(E90:E91),"")</f>
        <v/>
      </c>
      <c r="F120" s="143" t="str">
        <f t="shared" si="5"/>
        <v/>
      </c>
      <c r="G120" s="143" t="str">
        <f t="shared" si="5"/>
        <v/>
      </c>
      <c r="H120" s="143" t="str">
        <f t="shared" si="5"/>
        <v/>
      </c>
      <c r="I120" s="143" t="str">
        <f t="shared" si="5"/>
        <v/>
      </c>
      <c r="J120" s="143" t="str">
        <f t="shared" si="5"/>
        <v/>
      </c>
      <c r="K120" s="143" t="str">
        <f t="shared" si="5"/>
        <v/>
      </c>
      <c r="L120" s="143" t="str">
        <f t="shared" si="5"/>
        <v/>
      </c>
      <c r="M120" s="143" t="str">
        <f t="shared" si="5"/>
        <v/>
      </c>
      <c r="N120" s="143" t="str">
        <f t="shared" si="5"/>
        <v/>
      </c>
      <c r="O120" s="143" t="str">
        <f t="shared" si="5"/>
        <v/>
      </c>
    </row>
    <row r="121" spans="1:15" ht="15.75" customHeight="1" x14ac:dyDescent="0.5">
      <c r="A121" s="578" t="s">
        <v>3</v>
      </c>
      <c r="B121" s="41" t="s">
        <v>4</v>
      </c>
      <c r="C121" s="27" t="str">
        <f>G29</f>
        <v/>
      </c>
      <c r="D121" s="27" t="str">
        <f>K29</f>
        <v/>
      </c>
      <c r="E121" s="143" t="str">
        <f t="shared" ref="E121:O121" si="6">IFERROR(AVERAGE(E92:E93),"")</f>
        <v/>
      </c>
      <c r="F121" s="143" t="str">
        <f t="shared" si="6"/>
        <v/>
      </c>
      <c r="G121" s="143" t="str">
        <f t="shared" si="6"/>
        <v/>
      </c>
      <c r="H121" s="143" t="str">
        <f t="shared" si="6"/>
        <v/>
      </c>
      <c r="I121" s="143" t="str">
        <f t="shared" si="6"/>
        <v/>
      </c>
      <c r="J121" s="143" t="str">
        <f t="shared" si="6"/>
        <v/>
      </c>
      <c r="K121" s="143" t="str">
        <f t="shared" si="6"/>
        <v/>
      </c>
      <c r="L121" s="143" t="str">
        <f t="shared" si="6"/>
        <v/>
      </c>
      <c r="M121" s="143" t="str">
        <f t="shared" si="6"/>
        <v/>
      </c>
      <c r="N121" s="143" t="str">
        <f t="shared" si="6"/>
        <v/>
      </c>
      <c r="O121" s="143" t="str">
        <f t="shared" si="6"/>
        <v/>
      </c>
    </row>
    <row r="122" spans="1:15" ht="15.75" customHeight="1" x14ac:dyDescent="0.5">
      <c r="A122" s="579"/>
      <c r="B122" s="41" t="s">
        <v>162</v>
      </c>
      <c r="C122" s="27" t="str">
        <f>G31</f>
        <v/>
      </c>
      <c r="D122" s="27" t="str">
        <f>K31</f>
        <v/>
      </c>
      <c r="E122" s="142" t="str">
        <f t="shared" ref="E122:O122" si="7">IFERROR(AVERAGE(E94),"")</f>
        <v/>
      </c>
      <c r="F122" s="142" t="str">
        <f t="shared" si="7"/>
        <v/>
      </c>
      <c r="G122" s="142" t="str">
        <f t="shared" si="7"/>
        <v/>
      </c>
      <c r="H122" s="142" t="str">
        <f t="shared" si="7"/>
        <v/>
      </c>
      <c r="I122" s="142" t="str">
        <f t="shared" si="7"/>
        <v/>
      </c>
      <c r="J122" s="142" t="str">
        <f t="shared" si="7"/>
        <v/>
      </c>
      <c r="K122" s="142" t="str">
        <f t="shared" si="7"/>
        <v/>
      </c>
      <c r="L122" s="142" t="str">
        <f t="shared" si="7"/>
        <v/>
      </c>
      <c r="M122" s="142" t="str">
        <f t="shared" si="7"/>
        <v/>
      </c>
      <c r="N122" s="142" t="str">
        <f t="shared" si="7"/>
        <v/>
      </c>
      <c r="O122" s="142" t="str">
        <f t="shared" si="7"/>
        <v/>
      </c>
    </row>
    <row r="123" spans="1:15" ht="15.75" customHeight="1" x14ac:dyDescent="0.5">
      <c r="A123" s="580" t="s">
        <v>19</v>
      </c>
      <c r="B123" s="42" t="s">
        <v>20</v>
      </c>
      <c r="C123" s="27" t="str">
        <f>G32</f>
        <v/>
      </c>
      <c r="D123" s="27" t="str">
        <f>K32</f>
        <v/>
      </c>
      <c r="E123" s="143" t="str">
        <f t="shared" ref="E123:O123" si="8">IFERROR(AVERAGE(E95:E96),"")</f>
        <v/>
      </c>
      <c r="F123" s="143" t="str">
        <f t="shared" si="8"/>
        <v/>
      </c>
      <c r="G123" s="143" t="str">
        <f t="shared" si="8"/>
        <v/>
      </c>
      <c r="H123" s="143" t="str">
        <f t="shared" si="8"/>
        <v/>
      </c>
      <c r="I123" s="143" t="str">
        <f t="shared" si="8"/>
        <v/>
      </c>
      <c r="J123" s="143" t="str">
        <f t="shared" si="8"/>
        <v/>
      </c>
      <c r="K123" s="143" t="str">
        <f t="shared" si="8"/>
        <v/>
      </c>
      <c r="L123" s="143" t="str">
        <f t="shared" si="8"/>
        <v/>
      </c>
      <c r="M123" s="143" t="str">
        <f t="shared" si="8"/>
        <v/>
      </c>
      <c r="N123" s="143" t="str">
        <f t="shared" si="8"/>
        <v/>
      </c>
      <c r="O123" s="143" t="str">
        <f t="shared" si="8"/>
        <v/>
      </c>
    </row>
    <row r="124" spans="1:15" ht="15.75" customHeight="1" x14ac:dyDescent="0.5">
      <c r="A124" s="581"/>
      <c r="B124" s="42" t="s">
        <v>148</v>
      </c>
      <c r="C124" s="27" t="str">
        <f>G34</f>
        <v/>
      </c>
      <c r="D124" s="27" t="str">
        <f>K34</f>
        <v/>
      </c>
      <c r="E124" s="143" t="str">
        <f t="shared" ref="E124:O124" si="9">IFERROR(IF(E69&gt;=50,0,AVERAGE(E97:E100)),"")</f>
        <v/>
      </c>
      <c r="F124" s="143" t="str">
        <f t="shared" si="9"/>
        <v/>
      </c>
      <c r="G124" s="143" t="str">
        <f t="shared" si="9"/>
        <v/>
      </c>
      <c r="H124" s="143" t="str">
        <f t="shared" si="9"/>
        <v/>
      </c>
      <c r="I124" s="143" t="str">
        <f t="shared" si="9"/>
        <v/>
      </c>
      <c r="J124" s="143" t="str">
        <f t="shared" si="9"/>
        <v/>
      </c>
      <c r="K124" s="143" t="str">
        <f t="shared" si="9"/>
        <v/>
      </c>
      <c r="L124" s="143" t="str">
        <f t="shared" si="9"/>
        <v/>
      </c>
      <c r="M124" s="143" t="str">
        <f t="shared" si="9"/>
        <v/>
      </c>
      <c r="N124" s="143" t="str">
        <f t="shared" si="9"/>
        <v/>
      </c>
      <c r="O124" s="143" t="str">
        <f t="shared" si="9"/>
        <v/>
      </c>
    </row>
    <row r="125" spans="1:15" ht="15.75" customHeight="1" x14ac:dyDescent="0.5">
      <c r="A125" s="581"/>
      <c r="B125" s="42" t="s">
        <v>44</v>
      </c>
      <c r="C125" s="27" t="str">
        <f>G38</f>
        <v/>
      </c>
      <c r="D125" s="27" t="str">
        <f>K38</f>
        <v/>
      </c>
      <c r="E125" s="143" t="str">
        <f>IFERROR(AVERAGE(E101:E106),"")</f>
        <v/>
      </c>
      <c r="F125" s="143" t="str">
        <f t="shared" ref="F125:O125" si="10">IFERROR(AVERAGE(F101:F106),"")</f>
        <v/>
      </c>
      <c r="G125" s="143" t="str">
        <f t="shared" si="10"/>
        <v/>
      </c>
      <c r="H125" s="143" t="str">
        <f t="shared" si="10"/>
        <v/>
      </c>
      <c r="I125" s="143" t="str">
        <f t="shared" si="10"/>
        <v/>
      </c>
      <c r="J125" s="143" t="str">
        <f t="shared" si="10"/>
        <v/>
      </c>
      <c r="K125" s="143" t="str">
        <f t="shared" si="10"/>
        <v/>
      </c>
      <c r="L125" s="143" t="str">
        <f t="shared" si="10"/>
        <v/>
      </c>
      <c r="M125" s="143" t="str">
        <f t="shared" si="10"/>
        <v/>
      </c>
      <c r="N125" s="143" t="str">
        <f t="shared" si="10"/>
        <v/>
      </c>
      <c r="O125" s="143" t="str">
        <f t="shared" si="10"/>
        <v/>
      </c>
    </row>
    <row r="126" spans="1:15" ht="15.75" customHeight="1" x14ac:dyDescent="0.5">
      <c r="A126" s="582"/>
      <c r="B126" s="42" t="s">
        <v>45</v>
      </c>
      <c r="C126" s="27" t="str">
        <f>G44</f>
        <v/>
      </c>
      <c r="D126" s="27" t="str">
        <f>K44</f>
        <v/>
      </c>
      <c r="E126" s="143" t="str">
        <f t="shared" ref="E126:O126" si="11">IFERROR(AVERAGE(E107:E109),"")</f>
        <v/>
      </c>
      <c r="F126" s="143" t="str">
        <f t="shared" si="11"/>
        <v/>
      </c>
      <c r="G126" s="143" t="str">
        <f t="shared" si="11"/>
        <v/>
      </c>
      <c r="H126" s="143" t="str">
        <f t="shared" si="11"/>
        <v/>
      </c>
      <c r="I126" s="143" t="str">
        <f t="shared" si="11"/>
        <v/>
      </c>
      <c r="J126" s="143" t="str">
        <f t="shared" si="11"/>
        <v/>
      </c>
      <c r="K126" s="143" t="str">
        <f t="shared" si="11"/>
        <v/>
      </c>
      <c r="L126" s="143" t="str">
        <f t="shared" si="11"/>
        <v/>
      </c>
      <c r="M126" s="143" t="str">
        <f t="shared" si="11"/>
        <v/>
      </c>
      <c r="N126" s="143" t="str">
        <f t="shared" si="11"/>
        <v/>
      </c>
      <c r="O126" s="143" t="str">
        <f t="shared" si="11"/>
        <v/>
      </c>
    </row>
    <row r="127" spans="1:15" ht="15.75" customHeight="1" x14ac:dyDescent="0.5">
      <c r="A127" s="559" t="s">
        <v>49</v>
      </c>
      <c r="B127" s="43" t="s">
        <v>85</v>
      </c>
      <c r="C127" s="27" t="str">
        <f>G47</f>
        <v/>
      </c>
      <c r="D127" s="27" t="str">
        <f>K47</f>
        <v/>
      </c>
      <c r="E127" s="142" t="str">
        <f t="shared" ref="E127:O127" si="12">IFERROR(AVERAGE(E110),"")</f>
        <v/>
      </c>
      <c r="F127" s="142" t="str">
        <f t="shared" si="12"/>
        <v/>
      </c>
      <c r="G127" s="142" t="str">
        <f t="shared" si="12"/>
        <v/>
      </c>
      <c r="H127" s="142" t="str">
        <f t="shared" si="12"/>
        <v/>
      </c>
      <c r="I127" s="142" t="str">
        <f t="shared" si="12"/>
        <v/>
      </c>
      <c r="J127" s="142" t="str">
        <f t="shared" si="12"/>
        <v/>
      </c>
      <c r="K127" s="142" t="str">
        <f t="shared" si="12"/>
        <v/>
      </c>
      <c r="L127" s="142" t="str">
        <f t="shared" si="12"/>
        <v/>
      </c>
      <c r="M127" s="142" t="str">
        <f t="shared" si="12"/>
        <v/>
      </c>
      <c r="N127" s="142" t="str">
        <f t="shared" si="12"/>
        <v/>
      </c>
      <c r="O127" s="142" t="str">
        <f t="shared" si="12"/>
        <v/>
      </c>
    </row>
    <row r="128" spans="1:15" ht="15.75" customHeight="1" x14ac:dyDescent="0.5">
      <c r="A128" s="560"/>
      <c r="B128" s="43" t="s">
        <v>95</v>
      </c>
      <c r="C128" s="27" t="str">
        <f>G48</f>
        <v/>
      </c>
      <c r="D128" s="27" t="str">
        <f>K48</f>
        <v/>
      </c>
      <c r="E128" s="142" t="str">
        <f t="shared" ref="E128:O128" si="13">IFERROR(AVERAGE(E111),"")</f>
        <v/>
      </c>
      <c r="F128" s="142" t="str">
        <f t="shared" si="13"/>
        <v/>
      </c>
      <c r="G128" s="142" t="str">
        <f t="shared" si="13"/>
        <v/>
      </c>
      <c r="H128" s="142" t="str">
        <f t="shared" si="13"/>
        <v/>
      </c>
      <c r="I128" s="142" t="str">
        <f t="shared" si="13"/>
        <v/>
      </c>
      <c r="J128" s="142" t="str">
        <f t="shared" si="13"/>
        <v/>
      </c>
      <c r="K128" s="142" t="str">
        <f t="shared" si="13"/>
        <v/>
      </c>
      <c r="L128" s="142" t="str">
        <f t="shared" si="13"/>
        <v/>
      </c>
      <c r="M128" s="142" t="str">
        <f t="shared" si="13"/>
        <v/>
      </c>
      <c r="N128" s="142" t="str">
        <f t="shared" si="13"/>
        <v/>
      </c>
      <c r="O128" s="142" t="str">
        <f t="shared" si="13"/>
        <v/>
      </c>
    </row>
    <row r="129" spans="1:15" ht="15.75" customHeight="1" x14ac:dyDescent="0.5">
      <c r="A129" s="560"/>
      <c r="B129" s="43" t="s">
        <v>86</v>
      </c>
      <c r="C129" s="27" t="str">
        <f>G49</f>
        <v/>
      </c>
      <c r="D129" s="27" t="str">
        <f>K49</f>
        <v/>
      </c>
      <c r="E129" s="142" t="str">
        <f t="shared" ref="E129:O129" si="14">IFERROR(AVERAGE(E112),"")</f>
        <v/>
      </c>
      <c r="F129" s="142" t="str">
        <f t="shared" si="14"/>
        <v/>
      </c>
      <c r="G129" s="142" t="str">
        <f t="shared" si="14"/>
        <v/>
      </c>
      <c r="H129" s="142" t="str">
        <f t="shared" si="14"/>
        <v/>
      </c>
      <c r="I129" s="142" t="str">
        <f t="shared" si="14"/>
        <v/>
      </c>
      <c r="J129" s="142" t="str">
        <f t="shared" si="14"/>
        <v/>
      </c>
      <c r="K129" s="142" t="str">
        <f t="shared" si="14"/>
        <v/>
      </c>
      <c r="L129" s="142" t="str">
        <f t="shared" si="14"/>
        <v/>
      </c>
      <c r="M129" s="142" t="str">
        <f t="shared" si="14"/>
        <v/>
      </c>
      <c r="N129" s="142" t="str">
        <f t="shared" si="14"/>
        <v/>
      </c>
      <c r="O129" s="142" t="str">
        <f t="shared" si="14"/>
        <v/>
      </c>
    </row>
    <row r="130" spans="1:15" ht="15.6" customHeight="1" x14ac:dyDescent="0.5">
      <c r="A130" s="560"/>
      <c r="B130" s="43" t="s">
        <v>87</v>
      </c>
      <c r="C130" s="27" t="str">
        <f>G50</f>
        <v/>
      </c>
      <c r="D130" s="27" t="str">
        <f>K50</f>
        <v/>
      </c>
      <c r="E130" s="142" t="str">
        <f t="shared" ref="E130:O130" si="15">IFERROR(AVERAGE(E113),"")</f>
        <v/>
      </c>
      <c r="F130" s="142" t="str">
        <f t="shared" si="15"/>
        <v/>
      </c>
      <c r="G130" s="142" t="str">
        <f t="shared" si="15"/>
        <v/>
      </c>
      <c r="H130" s="142" t="str">
        <f t="shared" si="15"/>
        <v/>
      </c>
      <c r="I130" s="142" t="str">
        <f t="shared" si="15"/>
        <v/>
      </c>
      <c r="J130" s="142" t="str">
        <f t="shared" si="15"/>
        <v/>
      </c>
      <c r="K130" s="142" t="str">
        <f t="shared" si="15"/>
        <v/>
      </c>
      <c r="L130" s="142" t="str">
        <f t="shared" si="15"/>
        <v/>
      </c>
      <c r="M130" s="142" t="str">
        <f t="shared" si="15"/>
        <v/>
      </c>
      <c r="N130" s="142" t="str">
        <f t="shared" si="15"/>
        <v/>
      </c>
      <c r="O130" s="142" t="str">
        <f t="shared" si="15"/>
        <v/>
      </c>
    </row>
    <row r="131" spans="1:15" ht="15.6" customHeight="1" x14ac:dyDescent="0.5">
      <c r="A131" s="569"/>
      <c r="B131" s="43" t="s">
        <v>397</v>
      </c>
      <c r="C131" s="27" t="str">
        <f>G51</f>
        <v/>
      </c>
      <c r="D131" s="27" t="str">
        <f>K51</f>
        <v/>
      </c>
      <c r="E131" s="142" t="str">
        <f>IFERROR(AVERAGE(E114:E115),"")</f>
        <v/>
      </c>
      <c r="F131" s="142" t="str">
        <f t="shared" ref="F131:O131" si="16">IFERROR(AVERAGE(F114:F115),"")</f>
        <v/>
      </c>
      <c r="G131" s="142" t="str">
        <f t="shared" si="16"/>
        <v/>
      </c>
      <c r="H131" s="142" t="str">
        <f t="shared" si="16"/>
        <v/>
      </c>
      <c r="I131" s="142" t="str">
        <f t="shared" si="16"/>
        <v/>
      </c>
      <c r="J131" s="142" t="str">
        <f t="shared" si="16"/>
        <v/>
      </c>
      <c r="K131" s="142" t="str">
        <f t="shared" si="16"/>
        <v/>
      </c>
      <c r="L131" s="142" t="str">
        <f t="shared" si="16"/>
        <v/>
      </c>
      <c r="M131" s="142" t="str">
        <f t="shared" si="16"/>
        <v/>
      </c>
      <c r="N131" s="142" t="str">
        <f t="shared" si="16"/>
        <v/>
      </c>
      <c r="O131" s="142" t="str">
        <f t="shared" si="16"/>
        <v/>
      </c>
    </row>
    <row r="132" spans="1:15" ht="16.5" customHeight="1" x14ac:dyDescent="0.5">
      <c r="A132" s="583" t="s">
        <v>50</v>
      </c>
      <c r="B132" s="305" t="s">
        <v>157</v>
      </c>
      <c r="C132" s="27" t="str">
        <f>G53</f>
        <v/>
      </c>
      <c r="D132" s="27" t="str">
        <f>K53</f>
        <v/>
      </c>
      <c r="E132" s="143" t="str">
        <f>IFERROR(AVERAGE(E116),"")</f>
        <v/>
      </c>
      <c r="F132" s="143" t="str">
        <f t="shared" ref="F132:O132" si="17">IFERROR(AVERAGE(F116),"")</f>
        <v/>
      </c>
      <c r="G132" s="143" t="str">
        <f t="shared" si="17"/>
        <v/>
      </c>
      <c r="H132" s="143" t="str">
        <f t="shared" si="17"/>
        <v/>
      </c>
      <c r="I132" s="143" t="str">
        <f t="shared" si="17"/>
        <v/>
      </c>
      <c r="J132" s="143" t="str">
        <f t="shared" si="17"/>
        <v/>
      </c>
      <c r="K132" s="143" t="str">
        <f t="shared" si="17"/>
        <v/>
      </c>
      <c r="L132" s="143" t="str">
        <f t="shared" si="17"/>
        <v/>
      </c>
      <c r="M132" s="143" t="str">
        <f t="shared" si="17"/>
        <v/>
      </c>
      <c r="N132" s="143" t="str">
        <f t="shared" si="17"/>
        <v/>
      </c>
      <c r="O132" s="143" t="str">
        <f t="shared" si="17"/>
        <v/>
      </c>
    </row>
    <row r="133" spans="1:15" ht="15.75" x14ac:dyDescent="0.5">
      <c r="A133" s="584"/>
      <c r="B133" s="44" t="s">
        <v>75</v>
      </c>
      <c r="C133" s="27" t="str">
        <f>G54</f>
        <v/>
      </c>
      <c r="D133" s="27" t="str">
        <f>K54</f>
        <v/>
      </c>
      <c r="E133" s="142" t="str">
        <f t="shared" ref="E133:O133" si="18">IFERROR(AVERAGE(E117),"")</f>
        <v/>
      </c>
      <c r="F133" s="142" t="str">
        <f t="shared" si="18"/>
        <v/>
      </c>
      <c r="G133" s="142" t="str">
        <f t="shared" si="18"/>
        <v/>
      </c>
      <c r="H133" s="142" t="str">
        <f t="shared" si="18"/>
        <v/>
      </c>
      <c r="I133" s="142" t="str">
        <f t="shared" si="18"/>
        <v/>
      </c>
      <c r="J133" s="142" t="str">
        <f t="shared" si="18"/>
        <v/>
      </c>
      <c r="K133" s="142" t="str">
        <f t="shared" si="18"/>
        <v/>
      </c>
      <c r="L133" s="142" t="str">
        <f t="shared" si="18"/>
        <v/>
      </c>
      <c r="M133" s="142" t="str">
        <f t="shared" si="18"/>
        <v/>
      </c>
      <c r="N133" s="142" t="str">
        <f t="shared" si="18"/>
        <v/>
      </c>
      <c r="O133" s="142" t="str">
        <f t="shared" si="18"/>
        <v/>
      </c>
    </row>
    <row r="134" spans="1:15" s="144" customFormat="1" ht="15.75" x14ac:dyDescent="0.5">
      <c r="A134" s="10"/>
      <c r="B134" s="10"/>
      <c r="C134" s="10"/>
      <c r="D134" s="10"/>
      <c r="E134" s="68"/>
      <c r="F134" s="10"/>
      <c r="G134" s="18"/>
      <c r="H134" s="18"/>
      <c r="I134" s="17"/>
      <c r="J134" s="17"/>
      <c r="K134" s="10"/>
      <c r="L134" s="10"/>
      <c r="M134" s="10"/>
      <c r="N134" s="10"/>
      <c r="O134" s="10"/>
    </row>
    <row r="135" spans="1:15" s="144" customFormat="1" ht="15.75" x14ac:dyDescent="0.5">
      <c r="A135" s="585" t="s">
        <v>108</v>
      </c>
      <c r="B135" s="585"/>
      <c r="C135" s="320" t="s">
        <v>109</v>
      </c>
      <c r="D135" s="320" t="s">
        <v>110</v>
      </c>
      <c r="E135" s="320" t="s">
        <v>208</v>
      </c>
      <c r="F135" s="320">
        <f t="shared" ref="F135:O135" si="19">F57</f>
        <v>0</v>
      </c>
      <c r="G135" s="320">
        <f t="shared" si="19"/>
        <v>0</v>
      </c>
      <c r="H135" s="320">
        <f t="shared" si="19"/>
        <v>0</v>
      </c>
      <c r="I135" s="320">
        <f t="shared" si="19"/>
        <v>0</v>
      </c>
      <c r="J135" s="320">
        <f t="shared" si="19"/>
        <v>0</v>
      </c>
      <c r="K135" s="320">
        <f t="shared" si="19"/>
        <v>0</v>
      </c>
      <c r="L135" s="320">
        <f t="shared" si="19"/>
        <v>0</v>
      </c>
      <c r="M135" s="320">
        <f t="shared" si="19"/>
        <v>0</v>
      </c>
      <c r="N135" s="320">
        <f t="shared" si="19"/>
        <v>0</v>
      </c>
      <c r="O135" s="320">
        <f t="shared" si="19"/>
        <v>0</v>
      </c>
    </row>
    <row r="136" spans="1:15" s="144" customFormat="1" ht="15.75" x14ac:dyDescent="0.5">
      <c r="A136" s="572" t="s">
        <v>53</v>
      </c>
      <c r="B136" s="572"/>
      <c r="C136" s="145" t="str">
        <f>H27</f>
        <v/>
      </c>
      <c r="D136" s="145" t="str">
        <f>L27</f>
        <v/>
      </c>
      <c r="E136" s="145" t="str">
        <f t="shared" ref="E136:O136" si="20">IFERROR(ROUND(AVERAGE(E120),2),"")</f>
        <v/>
      </c>
      <c r="F136" s="145" t="str">
        <f t="shared" si="20"/>
        <v/>
      </c>
      <c r="G136" s="145" t="str">
        <f t="shared" si="20"/>
        <v/>
      </c>
      <c r="H136" s="145" t="str">
        <f t="shared" si="20"/>
        <v/>
      </c>
      <c r="I136" s="145" t="str">
        <f t="shared" si="20"/>
        <v/>
      </c>
      <c r="J136" s="145" t="str">
        <f t="shared" si="20"/>
        <v/>
      </c>
      <c r="K136" s="145" t="str">
        <f t="shared" si="20"/>
        <v/>
      </c>
      <c r="L136" s="145" t="str">
        <f t="shared" si="20"/>
        <v/>
      </c>
      <c r="M136" s="145" t="str">
        <f t="shared" si="20"/>
        <v/>
      </c>
      <c r="N136" s="145" t="str">
        <f t="shared" si="20"/>
        <v/>
      </c>
      <c r="O136" s="145" t="str">
        <f t="shared" si="20"/>
        <v/>
      </c>
    </row>
    <row r="137" spans="1:15" s="144" customFormat="1" ht="15.75" x14ac:dyDescent="0.5">
      <c r="A137" s="573" t="s">
        <v>3</v>
      </c>
      <c r="B137" s="573"/>
      <c r="C137" s="145" t="str">
        <f>H29</f>
        <v/>
      </c>
      <c r="D137" s="145" t="str">
        <f>L29</f>
        <v/>
      </c>
      <c r="E137" s="145" t="str">
        <f t="shared" ref="E137:O137" si="21">IFERROR(ROUND(AVERAGE(E121:E122),2),"")</f>
        <v/>
      </c>
      <c r="F137" s="145" t="str">
        <f t="shared" si="21"/>
        <v/>
      </c>
      <c r="G137" s="145" t="str">
        <f t="shared" si="21"/>
        <v/>
      </c>
      <c r="H137" s="145" t="str">
        <f t="shared" si="21"/>
        <v/>
      </c>
      <c r="I137" s="145" t="str">
        <f t="shared" si="21"/>
        <v/>
      </c>
      <c r="J137" s="145" t="str">
        <f t="shared" si="21"/>
        <v/>
      </c>
      <c r="K137" s="145" t="str">
        <f t="shared" si="21"/>
        <v/>
      </c>
      <c r="L137" s="145" t="str">
        <f t="shared" si="21"/>
        <v/>
      </c>
      <c r="M137" s="145" t="str">
        <f t="shared" si="21"/>
        <v/>
      </c>
      <c r="N137" s="145" t="str">
        <f t="shared" si="21"/>
        <v/>
      </c>
      <c r="O137" s="145" t="str">
        <f t="shared" si="21"/>
        <v/>
      </c>
    </row>
    <row r="138" spans="1:15" s="144" customFormat="1" ht="15.75" x14ac:dyDescent="0.5">
      <c r="A138" s="574" t="s">
        <v>19</v>
      </c>
      <c r="B138" s="574"/>
      <c r="C138" s="145" t="str">
        <f>H32</f>
        <v/>
      </c>
      <c r="D138" s="145" t="str">
        <f>L32</f>
        <v/>
      </c>
      <c r="E138" s="145" t="str">
        <f t="shared" ref="E138:O138" si="22">IFERROR(ROUND(AVERAGE(E123:E126),2),"")</f>
        <v/>
      </c>
      <c r="F138" s="145" t="str">
        <f t="shared" si="22"/>
        <v/>
      </c>
      <c r="G138" s="145" t="str">
        <f t="shared" si="22"/>
        <v/>
      </c>
      <c r="H138" s="145" t="str">
        <f t="shared" si="22"/>
        <v/>
      </c>
      <c r="I138" s="145" t="str">
        <f t="shared" si="22"/>
        <v/>
      </c>
      <c r="J138" s="145" t="str">
        <f t="shared" si="22"/>
        <v/>
      </c>
      <c r="K138" s="145" t="str">
        <f t="shared" si="22"/>
        <v/>
      </c>
      <c r="L138" s="145" t="str">
        <f t="shared" si="22"/>
        <v/>
      </c>
      <c r="M138" s="145" t="str">
        <f t="shared" si="22"/>
        <v/>
      </c>
      <c r="N138" s="145" t="str">
        <f t="shared" si="22"/>
        <v/>
      </c>
      <c r="O138" s="145" t="str">
        <f t="shared" si="22"/>
        <v/>
      </c>
    </row>
    <row r="139" spans="1:15" s="144" customFormat="1" ht="15.75" x14ac:dyDescent="0.5">
      <c r="A139" s="575" t="s">
        <v>49</v>
      </c>
      <c r="B139" s="575"/>
      <c r="C139" s="145" t="str">
        <f>H47</f>
        <v/>
      </c>
      <c r="D139" s="145" t="str">
        <f>L47</f>
        <v/>
      </c>
      <c r="E139" s="145" t="str">
        <f>IFERROR(ROUND(AVERAGE(E127:E131),2),"")</f>
        <v/>
      </c>
      <c r="F139" s="145" t="str">
        <f t="shared" ref="F139:O139" si="23">IFERROR(ROUND(AVERAGE(F127:F131),2),"")</f>
        <v/>
      </c>
      <c r="G139" s="145" t="str">
        <f t="shared" si="23"/>
        <v/>
      </c>
      <c r="H139" s="145" t="str">
        <f t="shared" si="23"/>
        <v/>
      </c>
      <c r="I139" s="145" t="str">
        <f t="shared" si="23"/>
        <v/>
      </c>
      <c r="J139" s="145" t="str">
        <f t="shared" si="23"/>
        <v/>
      </c>
      <c r="K139" s="145" t="str">
        <f t="shared" si="23"/>
        <v/>
      </c>
      <c r="L139" s="145" t="str">
        <f t="shared" si="23"/>
        <v/>
      </c>
      <c r="M139" s="145" t="str">
        <f t="shared" si="23"/>
        <v/>
      </c>
      <c r="N139" s="145" t="str">
        <f t="shared" si="23"/>
        <v/>
      </c>
      <c r="O139" s="145" t="str">
        <f t="shared" si="23"/>
        <v/>
      </c>
    </row>
    <row r="140" spans="1:15" s="144" customFormat="1" ht="15.75" x14ac:dyDescent="0.5">
      <c r="A140" s="576" t="s">
        <v>50</v>
      </c>
      <c r="B140" s="576"/>
      <c r="C140" s="145" t="str">
        <f>H53</f>
        <v/>
      </c>
      <c r="D140" s="145" t="str">
        <f>L53</f>
        <v/>
      </c>
      <c r="E140" s="145" t="str">
        <f>IFERROR(ROUND(AVERAGE(E132:E133),2),"")</f>
        <v/>
      </c>
      <c r="F140" s="145" t="str">
        <f t="shared" ref="F140:O140" si="24">IFERROR(ROUND(AVERAGE(F132:F133),2),"")</f>
        <v/>
      </c>
      <c r="G140" s="145" t="str">
        <f t="shared" si="24"/>
        <v/>
      </c>
      <c r="H140" s="145" t="str">
        <f t="shared" si="24"/>
        <v/>
      </c>
      <c r="I140" s="145" t="str">
        <f t="shared" si="24"/>
        <v/>
      </c>
      <c r="J140" s="145" t="str">
        <f t="shared" si="24"/>
        <v/>
      </c>
      <c r="K140" s="145" t="str">
        <f t="shared" si="24"/>
        <v/>
      </c>
      <c r="L140" s="145" t="str">
        <f t="shared" si="24"/>
        <v/>
      </c>
      <c r="M140" s="145" t="str">
        <f t="shared" si="24"/>
        <v/>
      </c>
      <c r="N140" s="145" t="str">
        <f t="shared" si="24"/>
        <v/>
      </c>
      <c r="O140" s="145" t="str">
        <f t="shared" si="24"/>
        <v/>
      </c>
    </row>
    <row r="141" spans="1:15" ht="15.75" x14ac:dyDescent="0.5">
      <c r="A141" s="577" t="s">
        <v>180</v>
      </c>
      <c r="B141" s="577"/>
      <c r="C141" s="26">
        <f>IFERROR(ROUND( SUM( IF(C136="",0,C136*0.2),IF(C137="",0,C137*0.2),IF(C138="",0,C138*0.2),IF(C139="",0,C139*0.2),IF(C140="",0,C140*0.2)),2),"")</f>
        <v>0</v>
      </c>
      <c r="D141" s="26">
        <f t="shared" ref="D141:O141" si="25">IFERROR(ROUND( SUM( IF(D136="",0,D136*0.2),IF(D137="",0,D137*0.2),IF(D138="",0,D138*0.2),IF(D139="",0,D139*0.2),IF(D140="",0,D140*0.2)),2),"")</f>
        <v>0</v>
      </c>
      <c r="E141" s="26">
        <f t="shared" si="25"/>
        <v>0</v>
      </c>
      <c r="F141" s="26">
        <f t="shared" si="25"/>
        <v>0</v>
      </c>
      <c r="G141" s="26">
        <f t="shared" si="25"/>
        <v>0</v>
      </c>
      <c r="H141" s="26">
        <f t="shared" si="25"/>
        <v>0</v>
      </c>
      <c r="I141" s="26">
        <f t="shared" si="25"/>
        <v>0</v>
      </c>
      <c r="J141" s="26">
        <f t="shared" si="25"/>
        <v>0</v>
      </c>
      <c r="K141" s="26">
        <f t="shared" si="25"/>
        <v>0</v>
      </c>
      <c r="L141" s="26">
        <f t="shared" si="25"/>
        <v>0</v>
      </c>
      <c r="M141" s="26">
        <f t="shared" si="25"/>
        <v>0</v>
      </c>
      <c r="N141" s="26">
        <f t="shared" si="25"/>
        <v>0</v>
      </c>
      <c r="O141" s="26">
        <f t="shared" si="25"/>
        <v>0</v>
      </c>
    </row>
    <row r="142" spans="1:15" ht="15.75" x14ac:dyDescent="0.5">
      <c r="E142" s="68"/>
      <c r="G142" s="18"/>
      <c r="H142" s="18"/>
      <c r="I142" s="17"/>
      <c r="J142" s="17"/>
    </row>
    <row r="143" spans="1:15" ht="15" customHeight="1" x14ac:dyDescent="0.45"/>
    <row r="144" spans="1:15" ht="15" customHeight="1" x14ac:dyDescent="0.45"/>
    <row r="145" ht="15" customHeight="1" x14ac:dyDescent="0.45"/>
    <row r="146" ht="15" customHeight="1" x14ac:dyDescent="0.45"/>
    <row r="147" ht="15" customHeight="1" x14ac:dyDescent="0.45"/>
    <row r="148" ht="15" customHeight="1" x14ac:dyDescent="0.45"/>
    <row r="149" ht="15" customHeight="1" x14ac:dyDescent="0.45"/>
    <row r="150" ht="15" customHeight="1" x14ac:dyDescent="0.45"/>
    <row r="151" ht="15" customHeight="1" x14ac:dyDescent="0.45"/>
    <row r="152" ht="15" customHeight="1" x14ac:dyDescent="0.45"/>
    <row r="153" ht="15" customHeight="1" x14ac:dyDescent="0.45"/>
    <row r="154" ht="15" customHeight="1" x14ac:dyDescent="0.45"/>
    <row r="155" ht="15" customHeight="1" x14ac:dyDescent="0.45"/>
    <row r="156" ht="15" customHeight="1" x14ac:dyDescent="0.45"/>
    <row r="157" ht="15" customHeight="1" x14ac:dyDescent="0.45"/>
    <row r="158" ht="15" customHeight="1" x14ac:dyDescent="0.45"/>
    <row r="159" ht="15" customHeight="1" x14ac:dyDescent="0.45"/>
    <row r="160" ht="15" customHeight="1" x14ac:dyDescent="0.45"/>
    <row r="161" ht="15" customHeight="1" x14ac:dyDescent="0.45"/>
    <row r="162" ht="15" customHeight="1" x14ac:dyDescent="0.45"/>
    <row r="163" ht="15" customHeight="1" x14ac:dyDescent="0.45"/>
    <row r="166" ht="15" customHeight="1" x14ac:dyDescent="0.45"/>
    <row r="167" ht="15" customHeight="1" x14ac:dyDescent="0.45"/>
    <row r="170" ht="15" customHeight="1" x14ac:dyDescent="0.45"/>
    <row r="171" ht="15" customHeight="1" x14ac:dyDescent="0.45"/>
    <row r="175" ht="15" customHeight="1" x14ac:dyDescent="0.45"/>
    <row r="176" ht="15" customHeight="1" x14ac:dyDescent="0.45"/>
    <row r="177" ht="15" customHeight="1" x14ac:dyDescent="0.45"/>
    <row r="178" ht="15" customHeight="1" x14ac:dyDescent="0.45"/>
    <row r="179" ht="15" customHeight="1" x14ac:dyDescent="0.45"/>
    <row r="180" ht="15" customHeight="1" x14ac:dyDescent="0.45"/>
    <row r="181" ht="15" customHeight="1" x14ac:dyDescent="0.45"/>
    <row r="182" ht="15" customHeight="1" x14ac:dyDescent="0.45"/>
    <row r="183" ht="15" customHeight="1" x14ac:dyDescent="0.45"/>
    <row r="184" ht="15" customHeight="1" x14ac:dyDescent="0.45"/>
    <row r="185" ht="15" customHeight="1" x14ac:dyDescent="0.45"/>
    <row r="186" ht="15" customHeight="1" x14ac:dyDescent="0.45"/>
    <row r="187" ht="15" customHeight="1" x14ac:dyDescent="0.45"/>
    <row r="188" ht="15" customHeight="1" x14ac:dyDescent="0.45"/>
    <row r="189" ht="15" customHeight="1" x14ac:dyDescent="0.45"/>
    <row r="190" ht="15" customHeight="1" x14ac:dyDescent="0.45"/>
    <row r="191" ht="15" customHeight="1" x14ac:dyDescent="0.45"/>
    <row r="192" ht="15" customHeight="1" x14ac:dyDescent="0.45"/>
    <row r="193" ht="15" customHeight="1" x14ac:dyDescent="0.45"/>
    <row r="194" ht="15" customHeight="1" x14ac:dyDescent="0.45"/>
    <row r="195" ht="15" customHeight="1" x14ac:dyDescent="0.45"/>
    <row r="196" ht="15" customHeight="1" x14ac:dyDescent="0.45"/>
    <row r="197" ht="15" customHeight="1" x14ac:dyDescent="0.45"/>
    <row r="198" ht="15" customHeight="1" x14ac:dyDescent="0.45"/>
    <row r="199" ht="15" customHeight="1" x14ac:dyDescent="0.45"/>
    <row r="200" ht="15" customHeight="1" x14ac:dyDescent="0.45"/>
    <row r="201" ht="15" customHeight="1" x14ac:dyDescent="0.45"/>
    <row r="202" ht="15" customHeight="1" x14ac:dyDescent="0.45"/>
    <row r="203" ht="15" customHeight="1" x14ac:dyDescent="0.45"/>
    <row r="204" ht="15" customHeight="1" x14ac:dyDescent="0.45"/>
  </sheetData>
  <sheetProtection algorithmName="SHA-512" hashValue="6ovQgYLmE0lQ+MNY2bO+xRcH0ni5CtfOk3b2AtoWHdnKJzScP2Ja4OK2XmY08LNkiB0WgeBb+WNRq9t9qzJOXA==" saltValue="Au8mNOv+BX6Ke8rerUmVtw==" spinCount="100000" sheet="1" objects="1" scenarios="1" formatColumns="0" formatRows="0"/>
  <dataConsolidate link="1"/>
  <mergeCells count="121">
    <mergeCell ref="B114:B115"/>
    <mergeCell ref="A110:A115"/>
    <mergeCell ref="A127:A131"/>
    <mergeCell ref="A92:A94"/>
    <mergeCell ref="B92:B93"/>
    <mergeCell ref="A95:A109"/>
    <mergeCell ref="B95:B96"/>
    <mergeCell ref="B97:B100"/>
    <mergeCell ref="B107:B109"/>
    <mergeCell ref="B101:B106"/>
    <mergeCell ref="A136:B136"/>
    <mergeCell ref="A137:B137"/>
    <mergeCell ref="A138:B138"/>
    <mergeCell ref="A139:B139"/>
    <mergeCell ref="A140:B140"/>
    <mergeCell ref="A141:B141"/>
    <mergeCell ref="A121:A122"/>
    <mergeCell ref="A123:A126"/>
    <mergeCell ref="A132:A133"/>
    <mergeCell ref="A135:B135"/>
    <mergeCell ref="C89:D89"/>
    <mergeCell ref="E89:O89"/>
    <mergeCell ref="A90:A91"/>
    <mergeCell ref="B90:B91"/>
    <mergeCell ref="A59:A60"/>
    <mergeCell ref="B59:B60"/>
    <mergeCell ref="A61:A63"/>
    <mergeCell ref="B61:B62"/>
    <mergeCell ref="A64:A79"/>
    <mergeCell ref="B64:B65"/>
    <mergeCell ref="B66:B69"/>
    <mergeCell ref="B70:B76"/>
    <mergeCell ref="B77:B79"/>
    <mergeCell ref="B84:B85"/>
    <mergeCell ref="A80:A85"/>
    <mergeCell ref="A86:A87"/>
    <mergeCell ref="A56:B56"/>
    <mergeCell ref="A57:A58"/>
    <mergeCell ref="B57:B58"/>
    <mergeCell ref="E58:O58"/>
    <mergeCell ref="G38:G43"/>
    <mergeCell ref="K38:K43"/>
    <mergeCell ref="B44:B46"/>
    <mergeCell ref="G44:G46"/>
    <mergeCell ref="K44:K46"/>
    <mergeCell ref="A47:A52"/>
    <mergeCell ref="H47:H52"/>
    <mergeCell ref="A32:A46"/>
    <mergeCell ref="B32:B33"/>
    <mergeCell ref="G32:G33"/>
    <mergeCell ref="H32:H46"/>
    <mergeCell ref="K32:K33"/>
    <mergeCell ref="L32:L46"/>
    <mergeCell ref="B34:B37"/>
    <mergeCell ref="G34:G37"/>
    <mergeCell ref="K34:K37"/>
    <mergeCell ref="B38:B43"/>
    <mergeCell ref="A53:A54"/>
    <mergeCell ref="I25:L25"/>
    <mergeCell ref="A27:A28"/>
    <mergeCell ref="B27:B28"/>
    <mergeCell ref="G27:G28"/>
    <mergeCell ref="H27:H28"/>
    <mergeCell ref="K27:K28"/>
    <mergeCell ref="L47:L52"/>
    <mergeCell ref="H53:H54"/>
    <mergeCell ref="L53:L54"/>
    <mergeCell ref="G51:G52"/>
    <mergeCell ref="K51:K52"/>
    <mergeCell ref="A16:B16"/>
    <mergeCell ref="E16:G16"/>
    <mergeCell ref="B51:B52"/>
    <mergeCell ref="E13:G13"/>
    <mergeCell ref="A14:B14"/>
    <mergeCell ref="E14:G14"/>
    <mergeCell ref="J16:O23"/>
    <mergeCell ref="A17:B17"/>
    <mergeCell ref="E17:G17"/>
    <mergeCell ref="A18:B18"/>
    <mergeCell ref="E18:G18"/>
    <mergeCell ref="A21:B21"/>
    <mergeCell ref="A23:B23"/>
    <mergeCell ref="L27:L28"/>
    <mergeCell ref="A29:A31"/>
    <mergeCell ref="B29:B30"/>
    <mergeCell ref="G29:G30"/>
    <mergeCell ref="H29:H31"/>
    <mergeCell ref="K29:K30"/>
    <mergeCell ref="L29:L31"/>
    <mergeCell ref="A25:A26"/>
    <mergeCell ref="B25:B26"/>
    <mergeCell ref="C25:D26"/>
    <mergeCell ref="E25:H25"/>
    <mergeCell ref="A1:C2"/>
    <mergeCell ref="E1:I1"/>
    <mergeCell ref="E2:I2"/>
    <mergeCell ref="A3:B3"/>
    <mergeCell ref="E3:I3"/>
    <mergeCell ref="A4:B4"/>
    <mergeCell ref="E4:I4"/>
    <mergeCell ref="E10:G10"/>
    <mergeCell ref="A11:B11"/>
    <mergeCell ref="E11:G11"/>
    <mergeCell ref="A6:B6"/>
    <mergeCell ref="A10:B10"/>
    <mergeCell ref="J14:O14"/>
    <mergeCell ref="A15:B15"/>
    <mergeCell ref="E15:G15"/>
    <mergeCell ref="J15:O15"/>
    <mergeCell ref="A9:B9"/>
    <mergeCell ref="E9:G9"/>
    <mergeCell ref="J9:O13"/>
    <mergeCell ref="A5:B5"/>
    <mergeCell ref="A7:B7"/>
    <mergeCell ref="E7:H7"/>
    <mergeCell ref="J7:O8"/>
    <mergeCell ref="A8:B8"/>
    <mergeCell ref="E8:G8"/>
    <mergeCell ref="A12:B12"/>
    <mergeCell ref="E12:G12"/>
    <mergeCell ref="A13:B13"/>
  </mergeCells>
  <conditionalFormatting sqref="F27:H54 C120:O133 C136:O140 J27:L54 E90:O117">
    <cfRule type="cellIs" dxfId="410" priority="7" operator="lessThan">
      <formula>0.3</formula>
    </cfRule>
    <cfRule type="cellIs" dxfId="409" priority="8" operator="lessThan">
      <formula>0.7</formula>
    </cfRule>
    <cfRule type="cellIs" dxfId="408" priority="9" operator="lessThanOrEqual">
      <formula>1</formula>
    </cfRule>
  </conditionalFormatting>
  <dataValidations count="26">
    <dataValidation allowBlank="1" showErrorMessage="1" prompt="Select catchment conditon level from the completed catchment assessment form. " sqref="E27:E28 I27:I28 E59:O60" xr:uid="{51CAF7E9-B091-4B7B-9B4B-9435754CBE27}"/>
    <dataValidation allowBlank="1" showInputMessage="1" showErrorMessage="1" prompt="Applicable only when armoring is present. This metric should be used in combination with either Erosion Rate or Dominant BEHI/NBS." sqref="E37 I37" xr:uid="{E7D628D8-DF54-44A5-9BC9-756DA1AAA989}"/>
    <dataValidation type="decimal" allowBlank="1" showInputMessage="1" showErrorMessage="1" sqref="I38:I40 E38:E40 E70:O76" xr:uid="{EC2A6E04-32B9-426E-94E5-910B4FBA865B}">
      <formula1>0</formula1>
      <formula2>5280</formula2>
    </dataValidation>
    <dataValidation type="list" allowBlank="1" showErrorMessage="1" sqref="C5" xr:uid="{05B8CCA4-3D56-4A07-BA11-85E29008499C}">
      <formula1>RestorationLevel</formula1>
    </dataValidation>
    <dataValidation allowBlank="1" showInputMessage="1" showErrorMessage="1" prompt="The user can only input a value for either LWD Index OR # Pieces, not both." sqref="E32:E33 E64:O65 I32:I33" xr:uid="{7748A279-9B12-4C50-9F5A-D99952BFA4AC}"/>
    <dataValidation allowBlank="1" showInputMessage="1" showErrorMessage="1" prompt="The user can only input a value for either BEHI/NBS or Erosion Rate, not both. " sqref="E34 I34" xr:uid="{2070BD16-E9F8-4121-972D-951E7FA512D8}"/>
    <dataValidation type="decimal" allowBlank="1" showInputMessage="1" showErrorMessage="1" prompt="Measure if proposed canopy cover is anticipated to be less than 20% at project closeout." sqref="E41 I41" xr:uid="{27058EBF-4EC3-4206-8B05-5A7F0F7F6F72}">
      <formula1>0</formula1>
      <formula2>5280</formula2>
    </dataValidation>
    <dataValidation type="decimal" allowBlank="1" showInputMessage="1" showErrorMessage="1" prompt="Applicable only when a monoculture is present." sqref="E43 I43" xr:uid="{0D3A5080-5476-4A38-A3A7-1D583CCFC739}">
      <formula1>0</formula1>
      <formula2>400</formula2>
    </dataValidation>
    <dataValidation type="list" allowBlank="1" showInputMessage="1" showErrorMessage="1" sqref="C22" xr:uid="{03BFEAA5-501F-41A7-9199-B7ADCD384925}">
      <formula1>Temperature</formula1>
    </dataValidation>
    <dataValidation type="decimal" allowBlank="1" showInputMessage="1" showErrorMessage="1" prompt="Applicable to projects with prairie piedmont vegetation community restoration only. " sqref="I42" xr:uid="{99685D7E-84A6-46D9-B9B5-48203E0CB7AD}">
      <formula1>0</formula1>
      <formula2>5280</formula2>
    </dataValidation>
    <dataValidation type="list" allowBlank="1" showErrorMessage="1" sqref="C18" xr:uid="{B1E3BFA6-260F-4A27-99DE-DEFD87B89996}">
      <formula1>ProposedBedMaterial</formula1>
    </dataValidation>
    <dataValidation type="list" allowBlank="1" showInputMessage="1" showErrorMessage="1" sqref="C13" xr:uid="{D365AAB9-B59D-4073-A60F-F94E41AF7888}">
      <formula1>ValleyType</formula1>
    </dataValidation>
    <dataValidation type="list" allowBlank="1" showInputMessage="1" showErrorMessage="1" prompt="Select the dominant BEHI/NBS.  _x000a_If erosion rate was measured select blank. The user can only input a value for either BEHI/NBS or Erosion Rate, not both. " sqref="I35 E35" xr:uid="{E89EABCB-1354-4F4F-84F8-CF73AB4CD1ED}">
      <formula1>BEHI.NBS</formula1>
    </dataValidation>
    <dataValidation type="list" allowBlank="1" showInputMessage="1" showErrorMessage="1" sqref="C21" xr:uid="{9F096E2F-1D80-49B6-89A3-737FEA3890D1}">
      <formula1>CanopyCover</formula1>
    </dataValidation>
    <dataValidation type="list" allowBlank="1" showInputMessage="1" showErrorMessage="1" sqref="C19" xr:uid="{D63CDE08-A3A1-4E7C-A6D0-6B7150D6AA97}">
      <formula1>ValleySlope</formula1>
    </dataValidation>
    <dataValidation type="list" allowBlank="1" showInputMessage="1" showErrorMessage="1" sqref="C20" xr:uid="{785C0FAC-64E9-4F20-87D7-7B93B156A5BC}">
      <formula1>BufferLandUse</formula1>
    </dataValidation>
    <dataValidation type="list" allowBlank="1" showInputMessage="1" showErrorMessage="1" sqref="C23" xr:uid="{87A1813F-6953-4554-9526-440E9591E09C}">
      <formula1>NCMacroSamplingMethod</formula1>
    </dataValidation>
    <dataValidation type="decimal" allowBlank="1" showInputMessage="1" showErrorMessage="1" prompt="Applicable to projects with prairie Piedmont vegetation community restoration only. " sqref="E42" xr:uid="{1D8C3562-1EEB-45BF-BDCF-177F2659E9CF}">
      <formula1>0</formula1>
      <formula2>5280</formula2>
    </dataValidation>
    <dataValidation type="list" allowBlank="1" showErrorMessage="1" sqref="C16" xr:uid="{EA2AA853-9E97-44E0-B2A8-232FD2A79226}">
      <formula1>StreamOrder</formula1>
    </dataValidation>
    <dataValidation type="list" allowBlank="1" showInputMessage="1" showErrorMessage="1" sqref="E67:O67" xr:uid="{49C8AB75-BD08-424D-A01C-EA8220FF4E7E}">
      <formula1>BEHI.NBS</formula1>
    </dataValidation>
    <dataValidation type="decimal" allowBlank="1" showErrorMessage="1" sqref="C14:C15 C9:C10" xr:uid="{C3750402-F90D-4C2A-93CB-38868E6ACC26}">
      <formula1>0</formula1>
      <formula2>100000</formula2>
    </dataValidation>
    <dataValidation type="list" allowBlank="1" showErrorMessage="1" sqref="C11:C12" xr:uid="{765CEA10-D84C-4ACC-AA9B-99EE5B55EFB6}">
      <formula1>StreamType</formula1>
    </dataValidation>
    <dataValidation type="list" allowBlank="1" showErrorMessage="1" sqref="C17" xr:uid="{7734A72C-9D5C-46B6-BAEF-BB4993ACB82F}">
      <formula1>FlowType</formula1>
    </dataValidation>
    <dataValidation type="list" allowBlank="1" showErrorMessage="1" sqref="C6" xr:uid="{64A63825-876C-428C-8E03-37F61361BEE3}">
      <formula1>Yes.No</formula1>
    </dataValidation>
    <dataValidation allowBlank="1" showInputMessage="1" showErrorMessage="1" prompt="This metric is only applicable to coldwater streams." sqref="E47 I47 E80:O80" xr:uid="{BB0E1C92-D04D-4A67-AB43-B073C954A897}"/>
    <dataValidation allowBlank="1" showInputMessage="1" showErrorMessage="1" prompt="The user can only input a value for either TSS OR Turbidity, not both." sqref="I51:I52 E51:E52 E84:O85" xr:uid="{2B9F20E0-56B1-4B3E-B6D6-DC6300CEDF6F}"/>
  </dataValidations>
  <pageMargins left="0.25" right="0.25" top="0.75" bottom="0.75" header="0.3" footer="0.3"/>
  <pageSetup scale="57" fitToHeight="0" orientation="landscape" r:id="rId1"/>
  <headerFooter>
    <oddFooter>&amp;LSC SQT v1.1
Quantification_Tool</oddFooter>
  </headerFooter>
  <rowBreaks count="4" manualBreakCount="4">
    <brk id="24" max="16383" man="1"/>
    <brk id="55" max="14" man="1"/>
    <brk id="88" max="14" man="1"/>
    <brk id="118" max="14" man="1"/>
  </rowBreaks>
  <legacyDrawing r:id="rId2"/>
  <extLst>
    <ext xmlns:x14="http://schemas.microsoft.com/office/spreadsheetml/2009/9/main" uri="{CCE6A557-97BC-4b89-ADB6-D9C93CAAB3DF}">
      <x14:dataValidations xmlns:xm="http://schemas.microsoft.com/office/excel/2006/main" count="2">
        <x14:dataValidation type="list" allowBlank="1" showErrorMessage="1" xr:uid="{7F45470F-ACBD-4769-8826-BE0BDC6023B4}">
          <x14:formula1>
            <xm:f>'Pull Down Notes'!$B$108:$B$111</xm:f>
          </x14:formula1>
          <xm:sqref>C13</xm:sqref>
        </x14:dataValidation>
        <x14:dataValidation type="list" showInputMessage="1" showErrorMessage="1" xr:uid="{E8C1EB93-6FE8-49DF-A4B1-68F4D9EB33BA}">
          <x14:formula1>
            <xm:f>'Pull Down Notes'!$B$108:$B$111</xm:f>
          </x14:formula1>
          <xm:sqref>C13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8"/>
  <dimension ref="A1:J139"/>
  <sheetViews>
    <sheetView topLeftCell="A115" workbookViewId="0">
      <selection activeCell="B136" sqref="B136:B139"/>
    </sheetView>
  </sheetViews>
  <sheetFormatPr defaultRowHeight="14.25" x14ac:dyDescent="0.45"/>
  <cols>
    <col min="1" max="1" width="8.86328125" style="93"/>
    <col min="2" max="2" width="15.59765625" customWidth="1"/>
  </cols>
  <sheetData>
    <row r="1" spans="1:2" s="10" customFormat="1" x14ac:dyDescent="0.45">
      <c r="A1" s="93" t="s">
        <v>128</v>
      </c>
    </row>
    <row r="2" spans="1:2" x14ac:dyDescent="0.45">
      <c r="B2" s="10" t="s">
        <v>13</v>
      </c>
    </row>
    <row r="3" spans="1:2" x14ac:dyDescent="0.45">
      <c r="B3" s="10" t="s">
        <v>165</v>
      </c>
    </row>
    <row r="4" spans="1:2" x14ac:dyDescent="0.45">
      <c r="B4" s="10" t="s">
        <v>7</v>
      </c>
    </row>
    <row r="5" spans="1:2" x14ac:dyDescent="0.45">
      <c r="B5" s="10" t="s">
        <v>8</v>
      </c>
    </row>
    <row r="6" spans="1:2" x14ac:dyDescent="0.45">
      <c r="B6" s="10" t="s">
        <v>5</v>
      </c>
    </row>
    <row r="7" spans="1:2" s="10" customFormat="1" x14ac:dyDescent="0.45">
      <c r="A7" s="93"/>
      <c r="B7" s="10" t="s">
        <v>166</v>
      </c>
    </row>
    <row r="8" spans="1:2" s="10" customFormat="1" x14ac:dyDescent="0.45">
      <c r="A8" s="93"/>
      <c r="B8" s="10" t="s">
        <v>6</v>
      </c>
    </row>
    <row r="9" spans="1:2" s="10" customFormat="1" x14ac:dyDescent="0.45">
      <c r="A9" s="93"/>
      <c r="B9" s="10" t="s">
        <v>170</v>
      </c>
    </row>
    <row r="10" spans="1:2" s="10" customFormat="1" x14ac:dyDescent="0.45">
      <c r="A10" s="93"/>
      <c r="B10" s="10" t="s">
        <v>89</v>
      </c>
    </row>
    <row r="11" spans="1:2" s="10" customFormat="1" x14ac:dyDescent="0.45">
      <c r="A11" s="93"/>
      <c r="B11" s="10" t="s">
        <v>167</v>
      </c>
    </row>
    <row r="12" spans="1:2" s="10" customFormat="1" x14ac:dyDescent="0.45">
      <c r="A12" s="93"/>
      <c r="B12" s="10" t="s">
        <v>90</v>
      </c>
    </row>
    <row r="13" spans="1:2" s="10" customFormat="1" x14ac:dyDescent="0.45">
      <c r="A13" s="93"/>
      <c r="B13" s="10" t="s">
        <v>96</v>
      </c>
    </row>
    <row r="14" spans="1:2" s="10" customFormat="1" x14ac:dyDescent="0.45">
      <c r="A14" s="93"/>
      <c r="B14" s="10" t="s">
        <v>168</v>
      </c>
    </row>
    <row r="15" spans="1:2" s="10" customFormat="1" x14ac:dyDescent="0.45">
      <c r="A15" s="93"/>
      <c r="B15" s="10" t="s">
        <v>169</v>
      </c>
    </row>
    <row r="16" spans="1:2" s="10" customFormat="1" x14ac:dyDescent="0.45">
      <c r="A16" s="93"/>
      <c r="B16" s="10" t="s">
        <v>389</v>
      </c>
    </row>
    <row r="17" spans="1:8" x14ac:dyDescent="0.45">
      <c r="G17" s="93"/>
      <c r="H17" s="10"/>
    </row>
    <row r="18" spans="1:8" x14ac:dyDescent="0.45">
      <c r="A18" s="93" t="s">
        <v>92</v>
      </c>
      <c r="B18" s="10"/>
      <c r="G18" s="93"/>
      <c r="H18" s="10"/>
    </row>
    <row r="19" spans="1:8" x14ac:dyDescent="0.45">
      <c r="B19" s="10" t="s">
        <v>246</v>
      </c>
      <c r="G19" s="93"/>
      <c r="H19" s="10"/>
    </row>
    <row r="20" spans="1:8" x14ac:dyDescent="0.45">
      <c r="B20" s="10" t="s">
        <v>14</v>
      </c>
      <c r="G20" s="93"/>
      <c r="H20" s="10"/>
    </row>
    <row r="21" spans="1:8" s="10" customFormat="1" x14ac:dyDescent="0.45">
      <c r="A21" s="93"/>
      <c r="B21" s="10" t="s">
        <v>15</v>
      </c>
      <c r="G21" s="93"/>
    </row>
    <row r="22" spans="1:8" s="10" customFormat="1" x14ac:dyDescent="0.45">
      <c r="A22" s="93"/>
      <c r="B22" s="10" t="s">
        <v>247</v>
      </c>
      <c r="G22" s="93"/>
    </row>
    <row r="23" spans="1:8" s="10" customFormat="1" x14ac:dyDescent="0.45">
      <c r="A23" s="93"/>
      <c r="B23" s="10" t="s">
        <v>248</v>
      </c>
      <c r="G23" s="93"/>
    </row>
    <row r="24" spans="1:8" s="10" customFormat="1" x14ac:dyDescent="0.45">
      <c r="A24" s="93"/>
      <c r="B24" s="10" t="s">
        <v>249</v>
      </c>
      <c r="G24" s="93"/>
    </row>
    <row r="25" spans="1:8" s="10" customFormat="1" x14ac:dyDescent="0.45">
      <c r="A25" s="93"/>
    </row>
    <row r="26" spans="1:8" x14ac:dyDescent="0.45">
      <c r="A26" s="93" t="s">
        <v>18</v>
      </c>
    </row>
    <row r="27" spans="1:8" x14ac:dyDescent="0.45">
      <c r="B27" t="s">
        <v>17</v>
      </c>
    </row>
    <row r="28" spans="1:8" s="10" customFormat="1" x14ac:dyDescent="0.45">
      <c r="A28" s="93"/>
      <c r="B28" s="10" t="s">
        <v>52</v>
      </c>
    </row>
    <row r="29" spans="1:8" x14ac:dyDescent="0.45">
      <c r="B29" t="s">
        <v>21</v>
      </c>
    </row>
    <row r="31" spans="1:8" s="10" customFormat="1" x14ac:dyDescent="0.45">
      <c r="A31" s="93" t="s">
        <v>129</v>
      </c>
    </row>
    <row r="32" spans="1:8" x14ac:dyDescent="0.45">
      <c r="B32" s="312" t="s">
        <v>375</v>
      </c>
      <c r="C32" s="312"/>
    </row>
    <row r="33" spans="2:3" x14ac:dyDescent="0.45">
      <c r="B33" s="312" t="s">
        <v>376</v>
      </c>
      <c r="C33" s="312"/>
    </row>
    <row r="34" spans="2:3" x14ac:dyDescent="0.45">
      <c r="B34" s="312" t="s">
        <v>377</v>
      </c>
      <c r="C34" s="312"/>
    </row>
    <row r="35" spans="2:3" x14ac:dyDescent="0.45">
      <c r="B35" s="312" t="s">
        <v>378</v>
      </c>
      <c r="C35" s="312"/>
    </row>
    <row r="36" spans="2:3" x14ac:dyDescent="0.45">
      <c r="B36" s="312" t="s">
        <v>379</v>
      </c>
      <c r="C36" s="312"/>
    </row>
    <row r="37" spans="2:3" x14ac:dyDescent="0.45">
      <c r="B37" s="312" t="s">
        <v>380</v>
      </c>
      <c r="C37" s="312"/>
    </row>
    <row r="38" spans="2:3" x14ac:dyDescent="0.45">
      <c r="B38" s="312" t="s">
        <v>22</v>
      </c>
      <c r="C38" s="312"/>
    </row>
    <row r="39" spans="2:3" x14ac:dyDescent="0.45">
      <c r="B39" s="312" t="s">
        <v>23</v>
      </c>
      <c r="C39" s="312"/>
    </row>
    <row r="40" spans="2:3" x14ac:dyDescent="0.45">
      <c r="B40" s="312" t="s">
        <v>24</v>
      </c>
      <c r="C40" s="312"/>
    </row>
    <row r="41" spans="2:3" x14ac:dyDescent="0.45">
      <c r="B41" s="312" t="s">
        <v>25</v>
      </c>
      <c r="C41" s="312"/>
    </row>
    <row r="42" spans="2:3" s="10" customFormat="1" x14ac:dyDescent="0.45">
      <c r="B42" s="312" t="s">
        <v>26</v>
      </c>
      <c r="C42" s="312"/>
    </row>
    <row r="43" spans="2:3" s="10" customFormat="1" x14ac:dyDescent="0.45">
      <c r="B43" s="312" t="s">
        <v>31</v>
      </c>
      <c r="C43" s="312"/>
    </row>
    <row r="44" spans="2:3" s="10" customFormat="1" x14ac:dyDescent="0.45">
      <c r="B44" s="312" t="s">
        <v>27</v>
      </c>
      <c r="C44" s="312"/>
    </row>
    <row r="45" spans="2:3" x14ac:dyDescent="0.45">
      <c r="B45" s="312" t="s">
        <v>28</v>
      </c>
      <c r="C45" s="312"/>
    </row>
    <row r="46" spans="2:3" x14ac:dyDescent="0.45">
      <c r="B46" s="312" t="s">
        <v>29</v>
      </c>
      <c r="C46" s="312"/>
    </row>
    <row r="47" spans="2:3" x14ac:dyDescent="0.45">
      <c r="B47" s="312" t="s">
        <v>30</v>
      </c>
      <c r="C47" s="312"/>
    </row>
    <row r="48" spans="2:3" s="10" customFormat="1" x14ac:dyDescent="0.45">
      <c r="B48" s="312" t="s">
        <v>98</v>
      </c>
      <c r="C48" s="312"/>
    </row>
    <row r="49" spans="1:3" x14ac:dyDescent="0.45">
      <c r="B49" s="312" t="s">
        <v>97</v>
      </c>
      <c r="C49" s="312"/>
    </row>
    <row r="50" spans="1:3" x14ac:dyDescent="0.45">
      <c r="B50" s="312" t="s">
        <v>99</v>
      </c>
      <c r="C50" s="312"/>
    </row>
    <row r="51" spans="1:3" s="10" customFormat="1" x14ac:dyDescent="0.45">
      <c r="B51" s="312" t="s">
        <v>32</v>
      </c>
      <c r="C51" s="312"/>
    </row>
    <row r="52" spans="1:3" s="10" customFormat="1" x14ac:dyDescent="0.45">
      <c r="B52" s="312" t="s">
        <v>33</v>
      </c>
      <c r="C52" s="312"/>
    </row>
    <row r="53" spans="1:3" s="10" customFormat="1" x14ac:dyDescent="0.45">
      <c r="B53" s="312" t="s">
        <v>34</v>
      </c>
      <c r="C53" s="312"/>
    </row>
    <row r="54" spans="1:3" s="10" customFormat="1" x14ac:dyDescent="0.45">
      <c r="B54" s="312" t="s">
        <v>100</v>
      </c>
      <c r="C54" s="312"/>
    </row>
    <row r="55" spans="1:3" x14ac:dyDescent="0.45">
      <c r="B55" s="312" t="s">
        <v>37</v>
      </c>
      <c r="C55" s="312"/>
    </row>
    <row r="56" spans="1:3" x14ac:dyDescent="0.45">
      <c r="B56" s="312" t="s">
        <v>35</v>
      </c>
      <c r="C56" s="312"/>
    </row>
    <row r="57" spans="1:3" s="10" customFormat="1" x14ac:dyDescent="0.45">
      <c r="B57" s="312" t="s">
        <v>101</v>
      </c>
      <c r="C57" s="312"/>
    </row>
    <row r="58" spans="1:3" x14ac:dyDescent="0.45">
      <c r="B58" s="312" t="s">
        <v>102</v>
      </c>
      <c r="C58" s="312"/>
    </row>
    <row r="59" spans="1:3" x14ac:dyDescent="0.45">
      <c r="B59" s="312" t="s">
        <v>103</v>
      </c>
      <c r="C59" s="312"/>
    </row>
    <row r="60" spans="1:3" x14ac:dyDescent="0.45">
      <c r="B60" s="312" t="s">
        <v>41</v>
      </c>
      <c r="C60" s="312"/>
    </row>
    <row r="61" spans="1:3" x14ac:dyDescent="0.45">
      <c r="B61" s="312" t="s">
        <v>104</v>
      </c>
      <c r="C61" s="312"/>
    </row>
    <row r="62" spans="1:3" s="10" customFormat="1" x14ac:dyDescent="0.45">
      <c r="A62" s="93"/>
      <c r="B62" s="312" t="s">
        <v>36</v>
      </c>
      <c r="C62" s="312"/>
    </row>
    <row r="63" spans="1:3" s="10" customFormat="1" x14ac:dyDescent="0.45">
      <c r="A63" s="93"/>
      <c r="B63" s="312" t="s">
        <v>105</v>
      </c>
      <c r="C63" s="312"/>
    </row>
    <row r="64" spans="1:3" s="10" customFormat="1" x14ac:dyDescent="0.45">
      <c r="A64" s="93"/>
      <c r="B64" s="312" t="s">
        <v>38</v>
      </c>
      <c r="C64" s="312"/>
    </row>
    <row r="65" spans="1:6" s="10" customFormat="1" x14ac:dyDescent="0.45">
      <c r="A65" s="93"/>
      <c r="B65" s="312" t="s">
        <v>39</v>
      </c>
      <c r="C65" s="312"/>
    </row>
    <row r="66" spans="1:6" s="10" customFormat="1" x14ac:dyDescent="0.45">
      <c r="A66" s="93"/>
      <c r="B66" s="312" t="s">
        <v>40</v>
      </c>
      <c r="C66" s="312"/>
    </row>
    <row r="67" spans="1:6" s="10" customFormat="1" x14ac:dyDescent="0.45">
      <c r="A67" s="93"/>
      <c r="B67" s="312" t="s">
        <v>42</v>
      </c>
      <c r="C67" s="312"/>
    </row>
    <row r="68" spans="1:6" s="10" customFormat="1" x14ac:dyDescent="0.45">
      <c r="A68" s="93"/>
    </row>
    <row r="69" spans="1:6" x14ac:dyDescent="0.45">
      <c r="A69" s="93" t="s">
        <v>48</v>
      </c>
    </row>
    <row r="70" spans="1:6" x14ac:dyDescent="0.45">
      <c r="B70" t="s">
        <v>172</v>
      </c>
    </row>
    <row r="71" spans="1:6" x14ac:dyDescent="0.45">
      <c r="B71" t="s">
        <v>173</v>
      </c>
    </row>
    <row r="72" spans="1:6" s="10" customFormat="1" x14ac:dyDescent="0.45">
      <c r="A72" s="93"/>
    </row>
    <row r="73" spans="1:6" x14ac:dyDescent="0.45">
      <c r="A73" s="94" t="s">
        <v>332</v>
      </c>
      <c r="B73" s="9"/>
      <c r="D73" s="10"/>
      <c r="E73" s="10"/>
      <c r="F73" s="10"/>
    </row>
    <row r="74" spans="1:6" x14ac:dyDescent="0.45">
      <c r="A74" s="94"/>
      <c r="B74" s="9" t="s">
        <v>361</v>
      </c>
      <c r="C74" s="9"/>
      <c r="D74" s="10"/>
      <c r="E74" s="10"/>
      <c r="F74" s="10"/>
    </row>
    <row r="75" spans="1:6" x14ac:dyDescent="0.45">
      <c r="A75" s="94"/>
      <c r="B75" s="9" t="s">
        <v>51</v>
      </c>
      <c r="C75" s="9"/>
      <c r="D75" s="10"/>
      <c r="E75" s="10"/>
      <c r="F75" s="10"/>
    </row>
    <row r="76" spans="1:6" x14ac:dyDescent="0.45">
      <c r="A76" s="94"/>
      <c r="B76" s="9" t="s">
        <v>330</v>
      </c>
      <c r="C76" s="9"/>
      <c r="D76" s="10"/>
      <c r="E76" s="10"/>
      <c r="F76" s="10"/>
    </row>
    <row r="77" spans="1:6" x14ac:dyDescent="0.45">
      <c r="A77" s="94"/>
      <c r="B77" s="9" t="s">
        <v>401</v>
      </c>
      <c r="C77" s="9"/>
      <c r="D77" s="10"/>
      <c r="E77" s="10"/>
      <c r="F77" s="10"/>
    </row>
    <row r="78" spans="1:6" x14ac:dyDescent="0.45">
      <c r="A78" s="93" t="s">
        <v>130</v>
      </c>
      <c r="E78" s="10"/>
      <c r="F78" s="10"/>
    </row>
    <row r="79" spans="1:6" x14ac:dyDescent="0.45">
      <c r="B79" t="s">
        <v>54</v>
      </c>
    </row>
    <row r="80" spans="1:6" x14ac:dyDescent="0.45">
      <c r="B80" t="s">
        <v>55</v>
      </c>
    </row>
    <row r="82" spans="1:5" x14ac:dyDescent="0.45">
      <c r="A82" s="93" t="s">
        <v>131</v>
      </c>
    </row>
    <row r="83" spans="1:5" x14ac:dyDescent="0.45">
      <c r="B83" t="s">
        <v>138</v>
      </c>
    </row>
    <row r="84" spans="1:5" s="10" customFormat="1" x14ac:dyDescent="0.45">
      <c r="A84" s="93"/>
      <c r="B84" s="10" t="s">
        <v>139</v>
      </c>
    </row>
    <row r="85" spans="1:5" x14ac:dyDescent="0.45">
      <c r="B85" t="s">
        <v>66</v>
      </c>
    </row>
    <row r="86" spans="1:5" x14ac:dyDescent="0.45">
      <c r="B86" t="s">
        <v>67</v>
      </c>
    </row>
    <row r="87" spans="1:5" x14ac:dyDescent="0.45">
      <c r="B87" t="s">
        <v>68</v>
      </c>
    </row>
    <row r="88" spans="1:5" x14ac:dyDescent="0.45">
      <c r="C88" s="9"/>
      <c r="D88" s="9"/>
    </row>
    <row r="89" spans="1:5" x14ac:dyDescent="0.45">
      <c r="A89" s="94" t="s">
        <v>71</v>
      </c>
      <c r="B89" s="9"/>
      <c r="C89" s="9"/>
      <c r="D89" s="9"/>
    </row>
    <row r="90" spans="1:5" x14ac:dyDescent="0.45">
      <c r="A90" s="94"/>
      <c r="B90" s="9" t="s">
        <v>72</v>
      </c>
      <c r="E90" s="10"/>
    </row>
    <row r="91" spans="1:5" x14ac:dyDescent="0.45">
      <c r="A91" s="94"/>
      <c r="B91" s="9" t="s">
        <v>73</v>
      </c>
      <c r="E91" s="10"/>
    </row>
    <row r="92" spans="1:5" x14ac:dyDescent="0.45">
      <c r="A92" s="94"/>
      <c r="B92" s="9" t="s">
        <v>325</v>
      </c>
    </row>
    <row r="93" spans="1:5" x14ac:dyDescent="0.45">
      <c r="A93" s="94"/>
      <c r="B93" s="9" t="s">
        <v>326</v>
      </c>
    </row>
    <row r="94" spans="1:5" x14ac:dyDescent="0.45">
      <c r="A94" s="94"/>
      <c r="B94" s="9" t="s">
        <v>327</v>
      </c>
    </row>
    <row r="95" spans="1:5" x14ac:dyDescent="0.45">
      <c r="A95" s="94"/>
      <c r="B95" s="9" t="s">
        <v>329</v>
      </c>
    </row>
    <row r="96" spans="1:5" x14ac:dyDescent="0.45">
      <c r="A96" s="94"/>
      <c r="B96" s="9" t="s">
        <v>328</v>
      </c>
    </row>
    <row r="97" spans="1:10" x14ac:dyDescent="0.45">
      <c r="A97" s="94"/>
      <c r="B97" s="9" t="s">
        <v>74</v>
      </c>
    </row>
    <row r="98" spans="1:10" x14ac:dyDescent="0.45">
      <c r="A98" s="94"/>
      <c r="B98" s="9"/>
    </row>
    <row r="99" spans="1:10" x14ac:dyDescent="0.45">
      <c r="A99" s="94" t="s">
        <v>82</v>
      </c>
      <c r="J99" s="10"/>
    </row>
    <row r="100" spans="1:10" x14ac:dyDescent="0.45">
      <c r="B100" t="s">
        <v>83</v>
      </c>
      <c r="J100" s="10"/>
    </row>
    <row r="101" spans="1:10" x14ac:dyDescent="0.45">
      <c r="B101" s="10" t="s">
        <v>84</v>
      </c>
      <c r="C101" s="10"/>
      <c r="J101" s="10"/>
    </row>
    <row r="102" spans="1:10" x14ac:dyDescent="0.45">
      <c r="J102" s="10"/>
    </row>
    <row r="103" spans="1:10" s="10" customFormat="1" x14ac:dyDescent="0.45">
      <c r="A103" s="93" t="s">
        <v>132</v>
      </c>
    </row>
    <row r="104" spans="1:10" x14ac:dyDescent="0.45">
      <c r="B104" t="s">
        <v>118</v>
      </c>
      <c r="J104" s="10"/>
    </row>
    <row r="105" spans="1:10" x14ac:dyDescent="0.45">
      <c r="B105" t="s">
        <v>119</v>
      </c>
      <c r="J105" s="10"/>
    </row>
    <row r="106" spans="1:10" x14ac:dyDescent="0.45">
      <c r="B106" t="s">
        <v>120</v>
      </c>
      <c r="J106" s="10"/>
    </row>
    <row r="107" spans="1:10" x14ac:dyDescent="0.45">
      <c r="J107" s="10"/>
    </row>
    <row r="108" spans="1:10" x14ac:dyDescent="0.45">
      <c r="A108" s="94" t="s">
        <v>133</v>
      </c>
    </row>
    <row r="109" spans="1:10" x14ac:dyDescent="0.45">
      <c r="B109" t="s">
        <v>134</v>
      </c>
    </row>
    <row r="110" spans="1:10" x14ac:dyDescent="0.45">
      <c r="B110" t="s">
        <v>136</v>
      </c>
    </row>
    <row r="111" spans="1:10" x14ac:dyDescent="0.45">
      <c r="B111" s="10" t="s">
        <v>135</v>
      </c>
    </row>
    <row r="113" spans="1:2" x14ac:dyDescent="0.45">
      <c r="A113" s="93" t="s">
        <v>182</v>
      </c>
    </row>
    <row r="114" spans="1:2" x14ac:dyDescent="0.45">
      <c r="B114" t="s">
        <v>183</v>
      </c>
    </row>
    <row r="115" spans="1:2" x14ac:dyDescent="0.45">
      <c r="B115" t="s">
        <v>184</v>
      </c>
    </row>
    <row r="116" spans="1:2" x14ac:dyDescent="0.45">
      <c r="B116" t="s">
        <v>185</v>
      </c>
    </row>
    <row r="117" spans="1:2" x14ac:dyDescent="0.45">
      <c r="B117" t="s">
        <v>186</v>
      </c>
    </row>
    <row r="119" spans="1:2" x14ac:dyDescent="0.45">
      <c r="A119" s="93" t="s">
        <v>226</v>
      </c>
    </row>
    <row r="120" spans="1:2" x14ac:dyDescent="0.45">
      <c r="B120" t="s">
        <v>228</v>
      </c>
    </row>
    <row r="121" spans="1:2" x14ac:dyDescent="0.45">
      <c r="B121" t="s">
        <v>227</v>
      </c>
    </row>
    <row r="123" spans="1:2" x14ac:dyDescent="0.45">
      <c r="A123" s="94" t="s">
        <v>281</v>
      </c>
      <c r="B123" s="9"/>
    </row>
    <row r="124" spans="1:2" x14ac:dyDescent="0.45">
      <c r="A124" s="94"/>
      <c r="B124" s="9" t="s">
        <v>283</v>
      </c>
    </row>
    <row r="125" spans="1:2" x14ac:dyDescent="0.45">
      <c r="A125" s="94"/>
      <c r="B125" s="9" t="s">
        <v>291</v>
      </c>
    </row>
    <row r="126" spans="1:2" x14ac:dyDescent="0.45">
      <c r="A126" s="94"/>
      <c r="B126" s="9" t="s">
        <v>290</v>
      </c>
    </row>
    <row r="127" spans="1:2" x14ac:dyDescent="0.45">
      <c r="A127" s="94"/>
      <c r="B127" s="9" t="s">
        <v>282</v>
      </c>
    </row>
    <row r="128" spans="1:2" x14ac:dyDescent="0.45">
      <c r="A128" s="94"/>
      <c r="B128" s="9"/>
    </row>
    <row r="129" spans="1:2" x14ac:dyDescent="0.45">
      <c r="A129" s="94" t="s">
        <v>284</v>
      </c>
      <c r="B129" s="9"/>
    </row>
    <row r="130" spans="1:2" x14ac:dyDescent="0.45">
      <c r="A130" s="94"/>
      <c r="B130" s="9" t="s">
        <v>285</v>
      </c>
    </row>
    <row r="131" spans="1:2" x14ac:dyDescent="0.45">
      <c r="A131" s="94"/>
      <c r="B131" s="9" t="s">
        <v>286</v>
      </c>
    </row>
    <row r="132" spans="1:2" x14ac:dyDescent="0.45">
      <c r="A132" s="94"/>
      <c r="B132" s="9" t="s">
        <v>287</v>
      </c>
    </row>
    <row r="133" spans="1:2" x14ac:dyDescent="0.45">
      <c r="A133" s="94"/>
      <c r="B133" s="9" t="s">
        <v>288</v>
      </c>
    </row>
    <row r="135" spans="1:2" x14ac:dyDescent="0.45">
      <c r="A135" s="93" t="s">
        <v>382</v>
      </c>
    </row>
    <row r="136" spans="1:2" x14ac:dyDescent="0.45">
      <c r="B136" s="299" t="s">
        <v>395</v>
      </c>
    </row>
    <row r="137" spans="1:2" s="10" customFormat="1" x14ac:dyDescent="0.45">
      <c r="A137" s="93"/>
      <c r="B137" s="299" t="s">
        <v>392</v>
      </c>
    </row>
    <row r="138" spans="1:2" s="10" customFormat="1" x14ac:dyDescent="0.45">
      <c r="A138" s="93"/>
      <c r="B138" s="299" t="s">
        <v>393</v>
      </c>
    </row>
    <row r="139" spans="1:2" x14ac:dyDescent="0.45">
      <c r="B139" s="299" t="s">
        <v>394</v>
      </c>
    </row>
  </sheetData>
  <sheetProtection algorithmName="SHA-512" hashValue="c51IIUmxrEav2szcjtIasOZdRQDq9/iS1B8AZ73TO1FAR+Nmkc8tSValCLCYKC3o5B31UqAFqlyZbEycD+aRzg==" saltValue="pAzrxhNak4lbIWvxiNHM5g==" spinCount="100000" sheet="1" objects="1" scenarios="1"/>
  <sortState xmlns:xlrd2="http://schemas.microsoft.com/office/spreadsheetml/2017/richdata2" ref="B74:B88">
    <sortCondition ref="B88"/>
  </sortState>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pageSetUpPr fitToPage="1"/>
  </sheetPr>
  <dimension ref="A1:AU997"/>
  <sheetViews>
    <sheetView zoomScale="87" zoomScaleNormal="87" zoomScaleSheetLayoutView="25" zoomScalePageLayoutView="70" workbookViewId="0">
      <selection activeCell="A2" sqref="A2"/>
    </sheetView>
  </sheetViews>
  <sheetFormatPr defaultColWidth="9.265625" defaultRowHeight="14.25" x14ac:dyDescent="0.45"/>
  <cols>
    <col min="1" max="1" width="5.265625" style="10" customWidth="1"/>
    <col min="2" max="8" width="11.73046875" style="10" customWidth="1"/>
    <col min="9" max="9" width="4.59765625" style="130" customWidth="1"/>
    <col min="10" max="10" width="4.59765625" style="10" customWidth="1"/>
    <col min="11" max="11" width="12.73046875" style="10" customWidth="1"/>
    <col min="12" max="17" width="11.73046875" style="10" customWidth="1"/>
    <col min="18" max="18" width="4.59765625" style="130" customWidth="1"/>
    <col min="19" max="19" width="4.59765625" style="10" customWidth="1"/>
    <col min="20" max="20" width="13.59765625" style="10" customWidth="1"/>
    <col min="21" max="22" width="11.73046875" style="10" customWidth="1"/>
    <col min="23" max="23" width="13.265625" style="10" customWidth="1"/>
    <col min="24" max="24" width="14.3984375" style="10" customWidth="1"/>
    <col min="25" max="25" width="14" style="10" customWidth="1"/>
    <col min="26" max="26" width="11.86328125" style="10" customWidth="1"/>
    <col min="27" max="28" width="11.3984375" style="17" customWidth="1"/>
    <col min="29" max="29" width="4.73046875" style="130" customWidth="1"/>
    <col min="30" max="30" width="4.73046875" style="17" customWidth="1"/>
    <col min="31" max="31" width="11.86328125" style="9" customWidth="1"/>
    <col min="32" max="37" width="11.86328125" style="10" customWidth="1"/>
    <col min="38" max="38" width="4.86328125" style="130" customWidth="1"/>
    <col min="39" max="39" width="4.86328125" style="10" customWidth="1"/>
    <col min="40" max="40" width="12.265625" style="10" customWidth="1"/>
    <col min="41" max="46" width="11.73046875" style="10" customWidth="1"/>
    <col min="47" max="47" width="4.86328125" style="130" customWidth="1"/>
    <col min="48" max="48" width="4.86328125" style="10" customWidth="1"/>
    <col min="49" max="54" width="11.73046875" style="10" customWidth="1"/>
    <col min="55" max="16384" width="9.265625" style="10"/>
  </cols>
  <sheetData>
    <row r="1" spans="1:47" ht="19.5" customHeight="1" x14ac:dyDescent="0.45">
      <c r="A1" s="10" t="s">
        <v>337</v>
      </c>
      <c r="AD1" s="329"/>
      <c r="AE1" s="330"/>
      <c r="AF1" s="330"/>
      <c r="AG1" s="330"/>
      <c r="AH1" s="330"/>
      <c r="AI1" s="330"/>
      <c r="AJ1" s="330"/>
      <c r="AK1" s="330"/>
      <c r="AL1" s="330"/>
      <c r="AM1" s="329"/>
      <c r="AN1" s="330"/>
      <c r="AO1" s="330"/>
      <c r="AP1" s="330"/>
      <c r="AQ1" s="330"/>
      <c r="AR1" s="330"/>
      <c r="AS1" s="330"/>
      <c r="AT1" s="330"/>
      <c r="AU1" s="331"/>
    </row>
    <row r="2" spans="1:47" ht="19.5" customHeight="1" x14ac:dyDescent="0.45">
      <c r="A2" s="9" t="s">
        <v>274</v>
      </c>
      <c r="B2" s="9"/>
      <c r="C2" s="9"/>
      <c r="D2" s="9"/>
      <c r="E2" s="9"/>
      <c r="F2" s="9"/>
      <c r="G2" s="9"/>
      <c r="H2" s="9"/>
      <c r="I2" s="132"/>
      <c r="J2" s="9"/>
      <c r="AD2" s="329"/>
      <c r="AE2" s="330"/>
      <c r="AF2" s="330"/>
      <c r="AG2" s="330"/>
      <c r="AH2" s="330"/>
      <c r="AI2" s="330"/>
      <c r="AJ2" s="330"/>
      <c r="AK2" s="330"/>
      <c r="AL2" s="330"/>
      <c r="AM2" s="329"/>
      <c r="AN2" s="330"/>
      <c r="AO2" s="330"/>
      <c r="AP2" s="330"/>
      <c r="AQ2" s="330"/>
      <c r="AR2" s="330"/>
      <c r="AS2" s="330"/>
      <c r="AT2" s="330"/>
      <c r="AU2" s="331"/>
    </row>
    <row r="3" spans="1:47" x14ac:dyDescent="0.45">
      <c r="AD3" s="332"/>
      <c r="AE3" s="334"/>
      <c r="AF3" s="334"/>
      <c r="AG3" s="334"/>
      <c r="AH3" s="334"/>
      <c r="AI3" s="334"/>
      <c r="AJ3" s="334"/>
      <c r="AK3" s="334"/>
      <c r="AL3" s="334"/>
      <c r="AM3" s="335"/>
      <c r="AN3" s="334"/>
      <c r="AO3" s="334"/>
      <c r="AP3" s="334"/>
      <c r="AQ3" s="334"/>
      <c r="AR3" s="334"/>
      <c r="AS3" s="334"/>
      <c r="AT3" s="334"/>
      <c r="AU3" s="333"/>
    </row>
    <row r="4" spans="1:47" x14ac:dyDescent="0.45">
      <c r="AD4" s="1"/>
      <c r="AF4" s="9"/>
      <c r="AG4" s="9"/>
      <c r="AH4" s="9"/>
      <c r="AI4" s="9"/>
      <c r="AJ4" s="9"/>
      <c r="AK4" s="9"/>
      <c r="AL4" s="132"/>
      <c r="AM4" s="9"/>
      <c r="AN4" s="9"/>
      <c r="AO4" s="9"/>
      <c r="AP4" s="9"/>
      <c r="AQ4" s="9"/>
      <c r="AR4" s="9"/>
      <c r="AS4" s="9"/>
      <c r="AT4" s="9"/>
    </row>
    <row r="5" spans="1:47" ht="15" customHeight="1" x14ac:dyDescent="0.45">
      <c r="B5" s="586" t="s">
        <v>77</v>
      </c>
      <c r="C5" s="586"/>
      <c r="D5" s="586"/>
      <c r="E5" s="586"/>
      <c r="F5" s="586"/>
      <c r="G5" s="586"/>
      <c r="H5" s="586"/>
      <c r="I5" s="147"/>
      <c r="J5" s="77"/>
      <c r="K5" s="586" t="s">
        <v>76</v>
      </c>
      <c r="L5" s="586"/>
      <c r="M5" s="586"/>
      <c r="N5" s="586"/>
      <c r="O5" s="586"/>
      <c r="P5" s="586"/>
      <c r="Q5" s="586"/>
      <c r="R5" s="147"/>
      <c r="S5" s="1"/>
      <c r="T5" s="586" t="s">
        <v>78</v>
      </c>
      <c r="U5" s="586"/>
      <c r="V5" s="586"/>
      <c r="W5" s="586"/>
      <c r="X5" s="586"/>
      <c r="Y5" s="586"/>
      <c r="Z5" s="586"/>
      <c r="AA5" s="202"/>
      <c r="AB5" s="202"/>
      <c r="AC5" s="151"/>
      <c r="AD5" s="221"/>
      <c r="AE5" s="589" t="s">
        <v>79</v>
      </c>
      <c r="AF5" s="589"/>
      <c r="AG5" s="589"/>
      <c r="AH5" s="589"/>
      <c r="AI5" s="589"/>
      <c r="AJ5" s="589"/>
      <c r="AK5" s="589"/>
      <c r="AL5" s="222"/>
      <c r="AM5" s="2"/>
      <c r="AN5" s="589" t="s">
        <v>80</v>
      </c>
      <c r="AO5" s="589"/>
      <c r="AP5" s="589"/>
      <c r="AQ5" s="589"/>
      <c r="AR5" s="589"/>
      <c r="AS5" s="589"/>
      <c r="AT5" s="589"/>
    </row>
    <row r="6" spans="1:47" ht="15" customHeight="1" x14ac:dyDescent="0.45">
      <c r="A6" s="3"/>
      <c r="B6" s="586"/>
      <c r="C6" s="586"/>
      <c r="D6" s="586"/>
      <c r="E6" s="586"/>
      <c r="F6" s="586"/>
      <c r="G6" s="586"/>
      <c r="H6" s="586"/>
      <c r="I6" s="147"/>
      <c r="J6" s="77"/>
      <c r="K6" s="586"/>
      <c r="L6" s="586"/>
      <c r="M6" s="586"/>
      <c r="N6" s="586"/>
      <c r="O6" s="586"/>
      <c r="P6" s="586"/>
      <c r="Q6" s="586"/>
      <c r="R6" s="147"/>
      <c r="S6" s="1"/>
      <c r="T6" s="586"/>
      <c r="U6" s="586"/>
      <c r="V6" s="586"/>
      <c r="W6" s="586"/>
      <c r="X6" s="586"/>
      <c r="Y6" s="586"/>
      <c r="Z6" s="586"/>
      <c r="AA6" s="202"/>
      <c r="AB6" s="202"/>
      <c r="AC6" s="151"/>
      <c r="AD6" s="221"/>
      <c r="AE6" s="589"/>
      <c r="AF6" s="589"/>
      <c r="AG6" s="589"/>
      <c r="AH6" s="589"/>
      <c r="AI6" s="589"/>
      <c r="AJ6" s="589"/>
      <c r="AK6" s="589"/>
      <c r="AL6" s="222"/>
      <c r="AM6" s="2"/>
      <c r="AN6" s="589"/>
      <c r="AO6" s="589"/>
      <c r="AP6" s="589"/>
      <c r="AQ6" s="589"/>
      <c r="AR6" s="589"/>
      <c r="AS6" s="589"/>
      <c r="AT6" s="589"/>
    </row>
    <row r="7" spans="1:47" x14ac:dyDescent="0.45">
      <c r="A7" s="3"/>
      <c r="B7" s="3"/>
      <c r="C7" s="3"/>
      <c r="D7" s="3"/>
      <c r="E7" s="3"/>
      <c r="F7" s="3"/>
      <c r="G7" s="3"/>
      <c r="H7" s="3"/>
      <c r="I7" s="149"/>
      <c r="J7" s="3"/>
      <c r="N7" s="1"/>
      <c r="O7" s="1"/>
      <c r="P7" s="1"/>
      <c r="Q7" s="1"/>
      <c r="R7" s="132"/>
      <c r="S7" s="1"/>
      <c r="T7" s="1"/>
      <c r="U7" s="1"/>
      <c r="V7" s="1"/>
      <c r="AD7" s="1"/>
      <c r="AF7" s="9"/>
      <c r="AG7" s="9"/>
      <c r="AH7" s="9"/>
      <c r="AI7" s="9"/>
      <c r="AJ7" s="9"/>
      <c r="AK7" s="1"/>
      <c r="AL7" s="132"/>
      <c r="AM7" s="9"/>
      <c r="AN7" s="9"/>
      <c r="AO7" s="9"/>
      <c r="AP7" s="9"/>
      <c r="AQ7" s="9"/>
      <c r="AR7" s="9"/>
      <c r="AS7" s="9"/>
      <c r="AT7" s="9"/>
    </row>
    <row r="8" spans="1:47" x14ac:dyDescent="0.45">
      <c r="K8" s="11"/>
      <c r="N8" s="1"/>
      <c r="O8" s="2"/>
      <c r="P8" s="2"/>
      <c r="Q8" s="2"/>
      <c r="R8" s="131"/>
      <c r="S8" s="2"/>
      <c r="T8" s="2"/>
      <c r="U8" s="2"/>
      <c r="V8" s="2"/>
    </row>
    <row r="9" spans="1:47" ht="14.65" thickBot="1" x14ac:dyDescent="0.5">
      <c r="B9" s="10" t="s">
        <v>152</v>
      </c>
      <c r="K9" s="10" t="s">
        <v>0</v>
      </c>
      <c r="R9" s="131"/>
      <c r="T9" s="10" t="s">
        <v>16</v>
      </c>
      <c r="AE9" s="9" t="s">
        <v>225</v>
      </c>
      <c r="AN9" s="9" t="s">
        <v>383</v>
      </c>
      <c r="AO9" s="9"/>
      <c r="AP9" s="9"/>
      <c r="AQ9" s="9"/>
      <c r="AR9" s="9"/>
      <c r="AS9" s="9"/>
      <c r="AT9" s="9"/>
    </row>
    <row r="10" spans="1:47" x14ac:dyDescent="0.45">
      <c r="B10" s="249" t="s">
        <v>9</v>
      </c>
      <c r="C10" s="244"/>
      <c r="D10" s="245"/>
      <c r="E10" s="245"/>
      <c r="F10" s="245"/>
      <c r="G10" s="245">
        <v>62</v>
      </c>
      <c r="H10" s="246">
        <v>55</v>
      </c>
      <c r="J10" s="76"/>
      <c r="K10" s="4" t="s">
        <v>9</v>
      </c>
      <c r="L10" s="5"/>
      <c r="M10" s="5"/>
      <c r="N10" s="45">
        <v>1.5</v>
      </c>
      <c r="O10" s="78"/>
      <c r="P10" s="5"/>
      <c r="Q10" s="156">
        <v>1</v>
      </c>
      <c r="R10" s="131"/>
      <c r="T10" s="4" t="s">
        <v>9</v>
      </c>
      <c r="U10" s="5">
        <v>0</v>
      </c>
      <c r="V10" s="5"/>
      <c r="W10" s="5"/>
      <c r="X10" s="5"/>
      <c r="Y10" s="5">
        <v>355</v>
      </c>
      <c r="Z10" s="6">
        <v>731</v>
      </c>
      <c r="AE10" s="4" t="s">
        <v>9</v>
      </c>
      <c r="AF10" s="45">
        <v>77</v>
      </c>
      <c r="AG10" s="45"/>
      <c r="AH10" s="45"/>
      <c r="AI10" s="45"/>
      <c r="AJ10" s="45">
        <v>64</v>
      </c>
      <c r="AK10" s="156">
        <v>58</v>
      </c>
      <c r="AN10" s="4" t="s">
        <v>9</v>
      </c>
      <c r="AO10" s="16">
        <v>0</v>
      </c>
      <c r="AP10" s="153"/>
      <c r="AQ10" s="16">
        <v>19</v>
      </c>
      <c r="AR10" s="16"/>
      <c r="AS10" s="16">
        <v>28</v>
      </c>
      <c r="AT10" s="75">
        <v>36</v>
      </c>
    </row>
    <row r="11" spans="1:47" ht="14.65" thickBot="1" x14ac:dyDescent="0.5">
      <c r="B11" s="250" t="s">
        <v>10</v>
      </c>
      <c r="C11" s="247">
        <v>0</v>
      </c>
      <c r="D11" s="247">
        <v>0.28999999999999998</v>
      </c>
      <c r="E11" s="247">
        <v>0.3</v>
      </c>
      <c r="F11" s="247">
        <v>0.69</v>
      </c>
      <c r="G11" s="247">
        <v>0.7</v>
      </c>
      <c r="H11" s="248">
        <v>1</v>
      </c>
      <c r="J11" s="2"/>
      <c r="K11" s="218" t="s">
        <v>10</v>
      </c>
      <c r="L11" s="247">
        <v>0</v>
      </c>
      <c r="M11" s="247">
        <v>0.28999999999999998</v>
      </c>
      <c r="N11" s="247">
        <v>0.3</v>
      </c>
      <c r="O11" s="247">
        <v>0.69</v>
      </c>
      <c r="P11" s="247">
        <v>0.7</v>
      </c>
      <c r="Q11" s="248">
        <v>1</v>
      </c>
      <c r="R11" s="131"/>
      <c r="T11" s="218" t="s">
        <v>10</v>
      </c>
      <c r="U11" s="247">
        <v>0</v>
      </c>
      <c r="V11" s="247">
        <v>0.28999999999999998</v>
      </c>
      <c r="W11" s="247">
        <v>0.3</v>
      </c>
      <c r="X11" s="247">
        <v>0.69</v>
      </c>
      <c r="Y11" s="247">
        <v>0.7</v>
      </c>
      <c r="Z11" s="248">
        <v>1</v>
      </c>
      <c r="AE11" s="218" t="s">
        <v>10</v>
      </c>
      <c r="AF11" s="247">
        <v>0</v>
      </c>
      <c r="AG11" s="247">
        <v>0.28999999999999998</v>
      </c>
      <c r="AH11" s="247">
        <v>0.3</v>
      </c>
      <c r="AI11" s="247">
        <v>0.69</v>
      </c>
      <c r="AJ11" s="247">
        <v>0.7</v>
      </c>
      <c r="AK11" s="248">
        <v>1</v>
      </c>
      <c r="AN11" s="7" t="s">
        <v>10</v>
      </c>
      <c r="AO11" s="310">
        <v>0</v>
      </c>
      <c r="AP11" s="247">
        <v>0.28999999999999998</v>
      </c>
      <c r="AQ11" s="247">
        <v>0.3</v>
      </c>
      <c r="AR11" s="247">
        <v>0.69</v>
      </c>
      <c r="AS11" s="247">
        <v>0.7</v>
      </c>
      <c r="AT11" s="248">
        <v>1</v>
      </c>
    </row>
    <row r="12" spans="1:47" ht="15" customHeight="1" x14ac:dyDescent="0.45">
      <c r="B12" s="103"/>
      <c r="C12" s="108"/>
      <c r="D12" s="107"/>
      <c r="R12" s="131"/>
      <c r="V12" s="97"/>
      <c r="AF12" s="48"/>
      <c r="AG12" s="98"/>
      <c r="AI12" s="1"/>
      <c r="AJ12" s="1"/>
      <c r="AK12" s="1"/>
      <c r="AL12" s="132"/>
      <c r="AN12" s="9"/>
      <c r="AO12" s="9"/>
      <c r="AP12" s="9"/>
    </row>
    <row r="13" spans="1:47" ht="15" customHeight="1" x14ac:dyDescent="0.45">
      <c r="B13" s="10" t="s">
        <v>154</v>
      </c>
      <c r="C13" s="109"/>
      <c r="D13" s="103"/>
      <c r="K13" s="10" t="s">
        <v>154</v>
      </c>
      <c r="L13" s="107"/>
      <c r="R13" s="131"/>
      <c r="T13" s="99" t="s">
        <v>147</v>
      </c>
      <c r="U13" s="17"/>
      <c r="AE13" s="9" t="s">
        <v>126</v>
      </c>
      <c r="AG13" s="9"/>
      <c r="AI13" s="1"/>
      <c r="AJ13" s="1"/>
      <c r="AK13" s="1"/>
      <c r="AL13" s="132"/>
      <c r="AN13" s="48" t="s">
        <v>211</v>
      </c>
      <c r="AO13" s="10" t="s">
        <v>210</v>
      </c>
      <c r="AP13" s="9"/>
      <c r="AQ13" s="9"/>
      <c r="AR13" s="9"/>
    </row>
    <row r="14" spans="1:47" ht="15" customHeight="1" x14ac:dyDescent="0.45">
      <c r="B14" s="108" t="s">
        <v>112</v>
      </c>
      <c r="C14" s="110">
        <v>-4.2900000000000001E-2</v>
      </c>
      <c r="D14" s="103"/>
      <c r="F14" s="1"/>
      <c r="G14" s="52"/>
      <c r="H14" s="52"/>
      <c r="I14" s="134"/>
      <c r="J14" s="48"/>
      <c r="K14" s="108" t="s">
        <v>112</v>
      </c>
      <c r="L14" s="107">
        <v>-1.4</v>
      </c>
      <c r="M14" s="9"/>
      <c r="U14" s="112" t="s">
        <v>116</v>
      </c>
      <c r="V14" s="112" t="s">
        <v>89</v>
      </c>
      <c r="Z14" s="15"/>
      <c r="AF14" s="10" t="s">
        <v>83</v>
      </c>
      <c r="AI14" s="1"/>
      <c r="AJ14" s="52"/>
      <c r="AK14" s="52"/>
      <c r="AL14" s="134"/>
      <c r="AO14" s="154" t="s">
        <v>115</v>
      </c>
      <c r="AP14" s="155" t="s">
        <v>212</v>
      </c>
      <c r="AQ14" s="10" t="s">
        <v>89</v>
      </c>
      <c r="AR14" s="51"/>
    </row>
    <row r="15" spans="1:47" x14ac:dyDescent="0.45">
      <c r="B15" s="108" t="s">
        <v>113</v>
      </c>
      <c r="C15" s="109">
        <v>3.3571</v>
      </c>
      <c r="F15" s="1"/>
      <c r="G15" s="1"/>
      <c r="H15" s="1"/>
      <c r="I15" s="132"/>
      <c r="K15" s="108" t="s">
        <v>113</v>
      </c>
      <c r="L15" s="146">
        <v>2.4</v>
      </c>
      <c r="M15" s="9"/>
      <c r="T15" s="14" t="s">
        <v>112</v>
      </c>
      <c r="U15" s="17">
        <v>1.9719999999999998E-3</v>
      </c>
      <c r="V15" s="17">
        <v>7.9799999999999999E-4</v>
      </c>
      <c r="Z15" s="15"/>
      <c r="AE15" s="73" t="s">
        <v>112</v>
      </c>
      <c r="AF15" s="220">
        <f>SLOPE(AF11:AK11,AF10:AK10)</f>
        <v>-5.282685512367491E-2</v>
      </c>
      <c r="AG15" s="9"/>
      <c r="AI15" s="1"/>
      <c r="AJ15" s="1"/>
      <c r="AK15" s="1"/>
      <c r="AL15" s="132"/>
      <c r="AN15" s="73" t="s">
        <v>112</v>
      </c>
      <c r="AO15" s="220">
        <f>SLOPE(AO11:AQ11,AO10:AQ10)</f>
        <v>1.5789473684210527E-2</v>
      </c>
      <c r="AP15" s="220">
        <f>SLOPE(AQ11:AS11,AQ10:AS10)</f>
        <v>4.4444444444444439E-2</v>
      </c>
      <c r="AQ15" s="220">
        <f>SLOPE(AS11:AT11,AS10:AT10)</f>
        <v>3.7500000000000006E-2</v>
      </c>
    </row>
    <row r="16" spans="1:47" x14ac:dyDescent="0.45">
      <c r="B16" s="9"/>
      <c r="C16" s="9"/>
      <c r="D16" s="9"/>
      <c r="F16" s="1"/>
      <c r="G16" s="1"/>
      <c r="H16" s="1"/>
      <c r="I16" s="132"/>
      <c r="K16" s="8"/>
      <c r="L16" s="9"/>
      <c r="M16" s="9"/>
      <c r="N16" s="12"/>
      <c r="T16" s="14" t="s">
        <v>113</v>
      </c>
      <c r="U16" s="1">
        <v>0</v>
      </c>
      <c r="V16" s="53">
        <v>0.41675499999999999</v>
      </c>
      <c r="AE16" s="73" t="s">
        <v>113</v>
      </c>
      <c r="AF16" s="220">
        <f>INTERCEPT(AF11:AK11,AF10:AK10)</f>
        <v>4.0708480565371019</v>
      </c>
      <c r="AG16" s="9"/>
      <c r="AH16" s="12"/>
      <c r="AI16" s="1"/>
      <c r="AJ16" s="1"/>
      <c r="AK16" s="1"/>
      <c r="AL16" s="132"/>
      <c r="AN16" s="73" t="s">
        <v>113</v>
      </c>
      <c r="AO16" s="353">
        <f>INTERCEPT(AO11:AQ11,AO10:AQ10)</f>
        <v>0</v>
      </c>
      <c r="AP16" s="220">
        <f>INTERCEPT(AQ11:AS11,AQ10:AS10)</f>
        <v>-0.54444444444444429</v>
      </c>
      <c r="AQ16" s="352">
        <f>INTERCEPT(AS11:AT11,AS10:AT10)</f>
        <v>-0.3500000000000002</v>
      </c>
    </row>
    <row r="17" spans="2:40" x14ac:dyDescent="0.45">
      <c r="B17" s="9"/>
      <c r="C17" s="9"/>
      <c r="D17" s="39"/>
      <c r="F17" s="1"/>
      <c r="G17" s="1"/>
      <c r="H17" s="1"/>
      <c r="I17" s="132"/>
      <c r="K17" s="9"/>
      <c r="L17" s="9"/>
      <c r="M17" s="39"/>
      <c r="T17" s="17"/>
      <c r="U17" s="1"/>
      <c r="V17" s="17"/>
      <c r="AF17" s="9"/>
      <c r="AG17" s="39"/>
      <c r="AI17" s="1"/>
      <c r="AJ17" s="1"/>
      <c r="AK17" s="1"/>
      <c r="AL17" s="132"/>
      <c r="AN17" s="73"/>
    </row>
    <row r="18" spans="2:40" x14ac:dyDescent="0.45">
      <c r="B18" s="1"/>
      <c r="K18" s="1"/>
      <c r="AF18" s="9"/>
      <c r="AG18" s="9"/>
    </row>
    <row r="19" spans="2:40" x14ac:dyDescent="0.45">
      <c r="B19" s="1"/>
      <c r="K19" s="1"/>
    </row>
    <row r="42" spans="2:46" x14ac:dyDescent="0.45">
      <c r="AN42" s="9"/>
      <c r="AO42" s="9"/>
      <c r="AP42" s="9"/>
      <c r="AQ42" s="9"/>
      <c r="AR42" s="9"/>
      <c r="AS42" s="9"/>
      <c r="AT42" s="9"/>
    </row>
    <row r="43" spans="2:46" ht="14.65" thickBot="1" x14ac:dyDescent="0.5">
      <c r="B43" s="10" t="s">
        <v>123</v>
      </c>
      <c r="K43" s="9" t="s">
        <v>160</v>
      </c>
      <c r="L43" s="9"/>
      <c r="M43" s="9"/>
      <c r="N43" s="9"/>
      <c r="O43" s="9"/>
      <c r="P43" s="9"/>
      <c r="Q43" s="9"/>
      <c r="T43" s="10" t="s">
        <v>352</v>
      </c>
      <c r="AD43" s="1"/>
      <c r="AE43" s="9" t="s">
        <v>410</v>
      </c>
      <c r="AF43" s="9"/>
      <c r="AG43" s="9"/>
      <c r="AH43" s="9"/>
      <c r="AI43" s="9"/>
      <c r="AJ43" s="9"/>
      <c r="AK43" s="9"/>
      <c r="AL43" s="132"/>
      <c r="AN43" s="9" t="s">
        <v>384</v>
      </c>
      <c r="AO43" s="9"/>
      <c r="AP43" s="9"/>
      <c r="AQ43" s="9"/>
      <c r="AR43" s="9"/>
      <c r="AS43" s="9"/>
      <c r="AT43" s="9"/>
    </row>
    <row r="44" spans="2:46" x14ac:dyDescent="0.45">
      <c r="B44" s="4" t="s">
        <v>9</v>
      </c>
      <c r="C44" s="100"/>
      <c r="D44" s="100"/>
      <c r="E44" s="100"/>
      <c r="F44" s="100"/>
      <c r="G44" s="242">
        <v>1</v>
      </c>
      <c r="H44" s="243">
        <v>0</v>
      </c>
      <c r="I44" s="150"/>
      <c r="K44" s="4" t="s">
        <v>9</v>
      </c>
      <c r="L44" s="234">
        <v>1</v>
      </c>
      <c r="M44" s="234"/>
      <c r="N44" s="234"/>
      <c r="O44" s="234"/>
      <c r="P44" s="234">
        <v>2.2000000000000002</v>
      </c>
      <c r="Q44" s="235">
        <v>7.3</v>
      </c>
      <c r="T44" s="4" t="s">
        <v>9</v>
      </c>
      <c r="U44" s="5">
        <v>0</v>
      </c>
      <c r="V44" s="5"/>
      <c r="W44" s="5"/>
      <c r="X44" s="5"/>
      <c r="Y44" s="5">
        <v>16</v>
      </c>
      <c r="Z44" s="6">
        <v>28</v>
      </c>
      <c r="AE44" s="4" t="s">
        <v>9</v>
      </c>
      <c r="AF44" s="64"/>
      <c r="AG44" s="21"/>
      <c r="AH44" s="5">
        <v>349</v>
      </c>
      <c r="AI44" s="21"/>
      <c r="AJ44" s="159">
        <v>121</v>
      </c>
      <c r="AK44" s="75">
        <v>35</v>
      </c>
      <c r="AN44" s="4" t="s">
        <v>9</v>
      </c>
      <c r="AO44" s="16">
        <v>0</v>
      </c>
      <c r="AP44" s="153"/>
      <c r="AQ44" s="16">
        <v>14</v>
      </c>
      <c r="AR44" s="16"/>
      <c r="AS44" s="16">
        <v>21</v>
      </c>
      <c r="AT44" s="75">
        <v>28</v>
      </c>
    </row>
    <row r="45" spans="2:46" ht="14.65" thickBot="1" x14ac:dyDescent="0.5">
      <c r="B45" s="218" t="s">
        <v>10</v>
      </c>
      <c r="C45" s="247">
        <v>0</v>
      </c>
      <c r="D45" s="247">
        <v>0.28999999999999998</v>
      </c>
      <c r="E45" s="247">
        <v>0.3</v>
      </c>
      <c r="F45" s="247">
        <v>0.69</v>
      </c>
      <c r="G45" s="247">
        <v>0.7</v>
      </c>
      <c r="H45" s="248">
        <v>1</v>
      </c>
      <c r="I45" s="150"/>
      <c r="K45" s="218" t="s">
        <v>10</v>
      </c>
      <c r="L45" s="247">
        <v>0</v>
      </c>
      <c r="M45" s="247">
        <v>0.28999999999999998</v>
      </c>
      <c r="N45" s="247">
        <v>0.3</v>
      </c>
      <c r="O45" s="247">
        <v>0.69</v>
      </c>
      <c r="P45" s="247">
        <v>0.7</v>
      </c>
      <c r="Q45" s="248">
        <v>1</v>
      </c>
      <c r="T45" s="218" t="s">
        <v>10</v>
      </c>
      <c r="U45" s="247">
        <v>0</v>
      </c>
      <c r="V45" s="247">
        <v>0.28999999999999998</v>
      </c>
      <c r="W45" s="247">
        <v>0.3</v>
      </c>
      <c r="X45" s="247">
        <v>0.69</v>
      </c>
      <c r="Y45" s="247">
        <v>0.7</v>
      </c>
      <c r="Z45" s="248">
        <v>1</v>
      </c>
      <c r="AE45" s="218" t="s">
        <v>10</v>
      </c>
      <c r="AF45" s="247">
        <v>0</v>
      </c>
      <c r="AG45" s="247">
        <v>0.28999999999999998</v>
      </c>
      <c r="AH45" s="247">
        <v>0.3</v>
      </c>
      <c r="AI45" s="247">
        <v>0.69</v>
      </c>
      <c r="AJ45" s="247">
        <v>0.7</v>
      </c>
      <c r="AK45" s="248">
        <v>1</v>
      </c>
      <c r="AN45" s="7" t="s">
        <v>10</v>
      </c>
      <c r="AO45" s="247">
        <v>0</v>
      </c>
      <c r="AP45" s="247">
        <v>0.28999999999999998</v>
      </c>
      <c r="AQ45" s="247">
        <v>0.3</v>
      </c>
      <c r="AR45" s="247">
        <v>0.69</v>
      </c>
      <c r="AS45" s="247">
        <v>0.7</v>
      </c>
      <c r="AT45" s="248">
        <v>1</v>
      </c>
    </row>
    <row r="46" spans="2:46" x14ac:dyDescent="0.45">
      <c r="I46" s="150"/>
      <c r="U46" s="97"/>
      <c r="V46" s="96"/>
      <c r="AE46" s="1"/>
      <c r="AF46" s="63"/>
      <c r="AG46" s="17"/>
      <c r="AH46" s="62"/>
      <c r="AI46" s="62"/>
      <c r="AJ46" s="62"/>
      <c r="AK46" s="62"/>
      <c r="AN46" s="9"/>
      <c r="AO46" s="9"/>
      <c r="AP46" s="9"/>
    </row>
    <row r="47" spans="2:46" x14ac:dyDescent="0.45">
      <c r="B47" s="48" t="s">
        <v>126</v>
      </c>
      <c r="D47" s="48"/>
      <c r="J47" s="19"/>
      <c r="K47" s="48" t="s">
        <v>126</v>
      </c>
      <c r="T47" s="99" t="s">
        <v>147</v>
      </c>
      <c r="U47" s="17"/>
      <c r="AE47" s="81" t="s">
        <v>126</v>
      </c>
      <c r="AG47" s="48"/>
      <c r="AN47" s="48" t="s">
        <v>211</v>
      </c>
      <c r="AO47" s="10" t="s">
        <v>210</v>
      </c>
    </row>
    <row r="48" spans="2:46" x14ac:dyDescent="0.45">
      <c r="B48" s="10" t="s">
        <v>112</v>
      </c>
      <c r="C48" s="10">
        <v>-0.3</v>
      </c>
      <c r="D48" s="9"/>
      <c r="F48" s="1"/>
      <c r="G48" s="52"/>
      <c r="H48" s="52"/>
      <c r="I48" s="134"/>
      <c r="J48" s="2"/>
      <c r="L48" s="112" t="s">
        <v>116</v>
      </c>
      <c r="M48" s="112" t="s">
        <v>89</v>
      </c>
      <c r="U48" s="112" t="s">
        <v>116</v>
      </c>
      <c r="V48" s="112" t="s">
        <v>89</v>
      </c>
      <c r="AE48" s="81"/>
      <c r="AF48" s="10" t="s">
        <v>200</v>
      </c>
      <c r="AG48" s="10" t="s">
        <v>89</v>
      </c>
      <c r="AI48" s="10" t="s">
        <v>403</v>
      </c>
      <c r="AO48" s="154" t="s">
        <v>115</v>
      </c>
      <c r="AP48" s="155" t="s">
        <v>212</v>
      </c>
      <c r="AQ48" s="155" t="s">
        <v>89</v>
      </c>
      <c r="AR48" s="51"/>
    </row>
    <row r="49" spans="2:43" x14ac:dyDescent="0.45">
      <c r="B49" s="9" t="s">
        <v>113</v>
      </c>
      <c r="C49" s="9">
        <v>1</v>
      </c>
      <c r="D49" s="9"/>
      <c r="F49" s="1"/>
      <c r="G49" s="1"/>
      <c r="H49" s="1"/>
      <c r="I49" s="132"/>
      <c r="K49" s="8" t="s">
        <v>112</v>
      </c>
      <c r="L49" s="9">
        <v>0.58330000000000004</v>
      </c>
      <c r="M49" s="9">
        <v>5.8799999999999998E-2</v>
      </c>
      <c r="T49" s="14" t="s">
        <v>112</v>
      </c>
      <c r="U49" s="10">
        <v>4.3799999999999999E-2</v>
      </c>
      <c r="V49">
        <v>2.5000000000000001E-2</v>
      </c>
      <c r="AE49" s="73" t="s">
        <v>112</v>
      </c>
      <c r="AF49" s="220">
        <f>SLOPE(AF45:AJ45,AF44:AJ44)</f>
        <v>-1.7543859649122805E-3</v>
      </c>
      <c r="AG49" s="220">
        <f>SLOPE(AJ45:AK45,AJ44:AK44)</f>
        <v>-3.4883720930232562E-3</v>
      </c>
      <c r="AI49" s="10" t="s">
        <v>10</v>
      </c>
      <c r="AJ49" s="342">
        <v>0</v>
      </c>
      <c r="AN49" s="73" t="s">
        <v>112</v>
      </c>
      <c r="AO49" s="220">
        <f>SLOPE(AO45:AQ45,AO44:AQ44)</f>
        <v>2.1428571428571429E-2</v>
      </c>
      <c r="AP49" s="220">
        <f>SLOPE(AQ45:AS45,AQ44:AS44)</f>
        <v>5.7142857142857141E-2</v>
      </c>
      <c r="AQ49" s="220">
        <f>SLOPE(AS45:AT45,AS44:AT44)</f>
        <v>4.2857142857142871E-2</v>
      </c>
    </row>
    <row r="50" spans="2:43" x14ac:dyDescent="0.45">
      <c r="B50" s="9"/>
      <c r="C50" s="9"/>
      <c r="D50" s="9"/>
      <c r="F50" s="1"/>
      <c r="G50" s="1"/>
      <c r="H50" s="1"/>
      <c r="I50" s="132"/>
      <c r="K50" s="8" t="s">
        <v>113</v>
      </c>
      <c r="L50" s="9">
        <v>-0.58330000000000004</v>
      </c>
      <c r="M50" s="9">
        <v>0.5706</v>
      </c>
      <c r="T50" s="14" t="s">
        <v>113</v>
      </c>
      <c r="U50" s="10">
        <v>0</v>
      </c>
      <c r="V50">
        <v>0.3</v>
      </c>
      <c r="AE50" s="73" t="s">
        <v>113</v>
      </c>
      <c r="AF50" s="220">
        <f>INTERCEPT(AF45:AJ45,AF44:AJ44)</f>
        <v>0.91228070175438591</v>
      </c>
      <c r="AG50" s="220">
        <f>INTERCEPT(AJ45:AK45,AJ44:AK44)</f>
        <v>1.1220930232558139</v>
      </c>
      <c r="AI50" s="10" t="s">
        <v>9</v>
      </c>
      <c r="AJ50" s="10">
        <f>(AJ49-AF50)/AF49</f>
        <v>520</v>
      </c>
      <c r="AN50" s="73" t="s">
        <v>113</v>
      </c>
      <c r="AO50" s="353">
        <f>INTERCEPT(AO45:AQ45,AO44:AQ44)</f>
        <v>0</v>
      </c>
      <c r="AP50" s="354">
        <f>INTERCEPT(AQ45:AS45,AQ44:AS44)</f>
        <v>-0.5</v>
      </c>
      <c r="AQ50" s="354">
        <f>INTERCEPT(AS45:AT45,AS44:AT44)</f>
        <v>-0.20000000000000029</v>
      </c>
    </row>
    <row r="51" spans="2:43" x14ac:dyDescent="0.45">
      <c r="B51" s="9"/>
      <c r="C51" s="9"/>
      <c r="D51" s="39"/>
      <c r="F51" s="1"/>
      <c r="G51" s="1"/>
      <c r="H51" s="1"/>
      <c r="I51" s="132"/>
      <c r="K51" s="8"/>
      <c r="L51" s="9"/>
      <c r="M51" s="39"/>
      <c r="AE51" s="73"/>
      <c r="AF51" s="1"/>
      <c r="AG51" s="1"/>
      <c r="AN51" s="73"/>
      <c r="AP51" s="189"/>
    </row>
    <row r="52" spans="2:43" x14ac:dyDescent="0.45">
      <c r="B52" s="1"/>
      <c r="J52" s="52"/>
      <c r="K52" s="9"/>
      <c r="L52" s="9"/>
      <c r="M52" s="9"/>
      <c r="AE52" s="1"/>
      <c r="AF52" s="1"/>
      <c r="AG52" s="1"/>
    </row>
    <row r="53" spans="2:43" x14ac:dyDescent="0.45">
      <c r="B53" s="1"/>
      <c r="J53" s="1"/>
      <c r="AE53" s="1"/>
      <c r="AF53" s="1"/>
      <c r="AG53" s="1"/>
    </row>
    <row r="54" spans="2:43" x14ac:dyDescent="0.45">
      <c r="J54" s="1"/>
    </row>
    <row r="55" spans="2:43" x14ac:dyDescent="0.45">
      <c r="J55" s="1"/>
    </row>
    <row r="66" spans="1:47" x14ac:dyDescent="0.45">
      <c r="K66" s="11"/>
    </row>
    <row r="75" spans="1:47" x14ac:dyDescent="0.45">
      <c r="A75" s="17"/>
      <c r="B75" s="17"/>
      <c r="C75" s="17"/>
      <c r="D75" s="17"/>
      <c r="E75" s="17"/>
      <c r="F75" s="17"/>
      <c r="G75" s="17"/>
      <c r="H75" s="17"/>
      <c r="J75" s="17"/>
    </row>
    <row r="76" spans="1:47" ht="14.65" thickBot="1" x14ac:dyDescent="0.5">
      <c r="K76" s="9" t="s">
        <v>161</v>
      </c>
      <c r="L76" s="9"/>
      <c r="M76" s="9"/>
      <c r="N76" s="9"/>
      <c r="O76" s="9"/>
      <c r="P76" s="9"/>
      <c r="Q76" s="9"/>
    </row>
    <row r="77" spans="1:47" ht="14.65" thickBot="1" x14ac:dyDescent="0.5">
      <c r="I77" s="148"/>
      <c r="K77" s="4" t="s">
        <v>9</v>
      </c>
      <c r="L77" s="234">
        <v>1</v>
      </c>
      <c r="M77" s="234"/>
      <c r="N77" s="234"/>
      <c r="O77" s="234"/>
      <c r="P77" s="234">
        <v>2.2000000000000002</v>
      </c>
      <c r="Q77" s="235">
        <v>10</v>
      </c>
      <c r="AL77" s="135"/>
      <c r="AM77" s="9"/>
      <c r="AN77" s="9" t="s">
        <v>402</v>
      </c>
      <c r="AO77" s="9"/>
      <c r="AP77" s="9"/>
      <c r="AQ77" s="9"/>
      <c r="AR77" s="9"/>
      <c r="AS77" s="9"/>
      <c r="AT77" s="9"/>
      <c r="AU77" s="132"/>
    </row>
    <row r="78" spans="1:47" ht="14.65" thickBot="1" x14ac:dyDescent="0.5">
      <c r="I78" s="148"/>
      <c r="K78" s="218" t="s">
        <v>10</v>
      </c>
      <c r="L78" s="247">
        <v>0</v>
      </c>
      <c r="M78" s="247">
        <v>0.28999999999999998</v>
      </c>
      <c r="N78" s="247">
        <v>0.3</v>
      </c>
      <c r="O78" s="247">
        <v>0.69</v>
      </c>
      <c r="P78" s="247">
        <v>0.7</v>
      </c>
      <c r="Q78" s="248">
        <v>1</v>
      </c>
      <c r="T78" s="10" t="s">
        <v>81</v>
      </c>
      <c r="AF78" s="9"/>
      <c r="AG78" s="9"/>
      <c r="AH78" s="9"/>
      <c r="AN78" s="4" t="s">
        <v>9</v>
      </c>
      <c r="AO78" s="16">
        <v>0</v>
      </c>
      <c r="AP78" s="153"/>
      <c r="AQ78" s="16">
        <v>5</v>
      </c>
      <c r="AR78" s="16"/>
      <c r="AS78" s="16">
        <v>10</v>
      </c>
      <c r="AT78" s="75">
        <v>15</v>
      </c>
    </row>
    <row r="79" spans="1:47" ht="14.65" thickBot="1" x14ac:dyDescent="0.5">
      <c r="I79" s="148"/>
      <c r="T79" s="4" t="s">
        <v>9</v>
      </c>
      <c r="U79" s="69">
        <v>0.71</v>
      </c>
      <c r="V79" s="69"/>
      <c r="W79" s="69">
        <v>0.4</v>
      </c>
      <c r="X79" s="69"/>
      <c r="Y79" s="69">
        <v>0.2</v>
      </c>
      <c r="Z79" s="70">
        <v>0.1</v>
      </c>
      <c r="AE79" s="9" t="s">
        <v>93</v>
      </c>
      <c r="AN79" s="7" t="s">
        <v>10</v>
      </c>
      <c r="AO79" s="247">
        <v>0</v>
      </c>
      <c r="AP79" s="247">
        <v>0.28999999999999998</v>
      </c>
      <c r="AQ79" s="247">
        <v>0.3</v>
      </c>
      <c r="AR79" s="247">
        <v>0.69</v>
      </c>
      <c r="AS79" s="247">
        <v>0.7</v>
      </c>
      <c r="AT79" s="248">
        <v>1</v>
      </c>
    </row>
    <row r="80" spans="1:47" ht="14.65" thickBot="1" x14ac:dyDescent="0.5">
      <c r="K80" s="48" t="s">
        <v>126</v>
      </c>
      <c r="T80" s="218" t="s">
        <v>10</v>
      </c>
      <c r="U80" s="247">
        <v>0</v>
      </c>
      <c r="V80" s="247">
        <v>0.28999999999999998</v>
      </c>
      <c r="W80" s="247">
        <v>0.3</v>
      </c>
      <c r="X80" s="247">
        <v>0.69</v>
      </c>
      <c r="Y80" s="247">
        <v>0.7</v>
      </c>
      <c r="Z80" s="248">
        <v>1</v>
      </c>
      <c r="AE80" s="4" t="s">
        <v>9</v>
      </c>
      <c r="AF80" s="16">
        <v>2.2999999999999998</v>
      </c>
      <c r="AG80" s="5"/>
      <c r="AH80" s="5"/>
      <c r="AI80" s="5"/>
      <c r="AJ80" s="5">
        <v>0.8</v>
      </c>
      <c r="AK80" s="6">
        <v>0.4</v>
      </c>
      <c r="AN80" s="9"/>
      <c r="AO80" s="9"/>
      <c r="AP80" s="9"/>
    </row>
    <row r="81" spans="9:46" ht="14.65" thickBot="1" x14ac:dyDescent="0.5">
      <c r="L81" s="112" t="s">
        <v>116</v>
      </c>
      <c r="M81" s="112" t="s">
        <v>89</v>
      </c>
      <c r="AE81" s="7" t="s">
        <v>10</v>
      </c>
      <c r="AF81" s="247">
        <v>0</v>
      </c>
      <c r="AG81" s="247">
        <v>0.28999999999999998</v>
      </c>
      <c r="AH81" s="247">
        <v>0.3</v>
      </c>
      <c r="AI81" s="247">
        <v>0.69</v>
      </c>
      <c r="AJ81" s="247">
        <v>0.7</v>
      </c>
      <c r="AK81" s="248">
        <v>1</v>
      </c>
      <c r="AN81" s="48" t="s">
        <v>211</v>
      </c>
      <c r="AO81" s="10" t="s">
        <v>210</v>
      </c>
      <c r="AP81" s="9"/>
    </row>
    <row r="82" spans="9:46" x14ac:dyDescent="0.45">
      <c r="K82" s="111" t="s">
        <v>112</v>
      </c>
      <c r="L82" s="9">
        <v>0.58330000000000004</v>
      </c>
      <c r="M82" s="9">
        <v>3.85E-2</v>
      </c>
      <c r="T82" s="48" t="s">
        <v>126</v>
      </c>
      <c r="U82" s="17"/>
      <c r="V82" s="9"/>
      <c r="W82" s="1"/>
      <c r="AO82" s="9" t="s">
        <v>115</v>
      </c>
      <c r="AP82" s="9" t="s">
        <v>212</v>
      </c>
      <c r="AQ82" s="9" t="s">
        <v>89</v>
      </c>
      <c r="AR82" s="51"/>
    </row>
    <row r="83" spans="9:46" x14ac:dyDescent="0.45">
      <c r="I83" s="134"/>
      <c r="K83" s="111" t="s">
        <v>113</v>
      </c>
      <c r="L83" s="9">
        <v>-0.58330000000000004</v>
      </c>
      <c r="M83" s="9">
        <v>0.61539999999999995</v>
      </c>
      <c r="U83" s="17" t="s">
        <v>115</v>
      </c>
      <c r="V83" s="9" t="s">
        <v>212</v>
      </c>
      <c r="W83" s="1" t="s">
        <v>89</v>
      </c>
      <c r="AE83" s="138" t="s">
        <v>147</v>
      </c>
      <c r="AN83" s="129" t="s">
        <v>112</v>
      </c>
      <c r="AO83" s="352">
        <f>SLOPE(AO79:AQ79,AO78:AQ78)</f>
        <v>0.06</v>
      </c>
      <c r="AP83" s="352">
        <f>SLOPE(AQ79:AS79,AQ78:AS78)</f>
        <v>7.9999999999999988E-2</v>
      </c>
      <c r="AQ83" s="352">
        <f>SLOPE(AS79:AT79,AS78:AT78)</f>
        <v>6.0000000000000012E-2</v>
      </c>
      <c r="AS83" s="220"/>
      <c r="AT83" s="220"/>
    </row>
    <row r="84" spans="9:46" x14ac:dyDescent="0.45">
      <c r="I84" s="132"/>
      <c r="K84" s="111"/>
      <c r="L84" s="9"/>
      <c r="M84" s="39"/>
      <c r="T84" s="14" t="s">
        <v>112</v>
      </c>
      <c r="U84" s="10">
        <v>-0.9677</v>
      </c>
      <c r="V84" s="10">
        <v>-2</v>
      </c>
      <c r="W84" s="10">
        <v>-3</v>
      </c>
      <c r="AF84" s="129" t="s">
        <v>200</v>
      </c>
      <c r="AG84" s="129" t="s">
        <v>89</v>
      </c>
      <c r="AI84" s="1"/>
      <c r="AJ84" s="1"/>
      <c r="AK84" s="1"/>
      <c r="AN84" s="129" t="s">
        <v>113</v>
      </c>
      <c r="AO84" s="352">
        <f>INTERCEPT(AO79:AQ79,AO78:AQ78)</f>
        <v>0</v>
      </c>
      <c r="AP84" s="354">
        <f>INTERCEPT(AQ79:AS79,AQ78:AS78)</f>
        <v>-9.9999999999999867E-2</v>
      </c>
      <c r="AQ84" s="354">
        <f>INTERCEPT(AS79:AT79,AS78:AT78)</f>
        <v>9.9999999999999867E-2</v>
      </c>
      <c r="AS84" s="220"/>
      <c r="AT84" s="220"/>
    </row>
    <row r="85" spans="9:46" x14ac:dyDescent="0.45">
      <c r="I85" s="132"/>
      <c r="K85" s="9"/>
      <c r="L85" s="9"/>
      <c r="M85" s="9"/>
      <c r="T85" s="14" t="s">
        <v>113</v>
      </c>
      <c r="U85" s="17">
        <v>0.68710000000000004</v>
      </c>
      <c r="V85" s="9">
        <v>1.1000000000000001</v>
      </c>
      <c r="W85" s="10">
        <v>1.3</v>
      </c>
      <c r="AE85" s="73" t="s">
        <v>112</v>
      </c>
      <c r="AF85" s="343">
        <f>SLOPE(AF81:AJ81,AF80:AJ80)</f>
        <v>-0.46666666666666679</v>
      </c>
      <c r="AG85" s="129">
        <f>SLOPE(AJ81:AK81,AJ80:AK80)</f>
        <v>-0.75</v>
      </c>
      <c r="AI85" s="1"/>
      <c r="AJ85" s="52"/>
      <c r="AK85" s="52"/>
      <c r="AN85" s="129"/>
      <c r="AO85" s="9"/>
    </row>
    <row r="86" spans="9:46" x14ac:dyDescent="0.45">
      <c r="I86" s="132"/>
      <c r="T86" s="14"/>
      <c r="U86" s="1"/>
      <c r="V86" s="9"/>
      <c r="W86" s="15"/>
      <c r="AE86" s="73" t="s">
        <v>113</v>
      </c>
      <c r="AF86" s="343">
        <f>INTERCEPT(AF81:AJ81,AF80:AJ80)</f>
        <v>1.0733333333333333</v>
      </c>
      <c r="AG86" s="129">
        <f>INTERCEPT(AJ81:AK81,AJ80:AK80)</f>
        <v>1.3</v>
      </c>
      <c r="AI86" s="1"/>
      <c r="AJ86" s="1"/>
      <c r="AK86" s="1"/>
    </row>
    <row r="87" spans="9:46" x14ac:dyDescent="0.45">
      <c r="T87" s="54"/>
      <c r="U87" s="1"/>
      <c r="V87" s="9"/>
      <c r="W87" s="12"/>
      <c r="AF87" s="9"/>
      <c r="AG87" s="9"/>
      <c r="AH87" s="12"/>
      <c r="AI87" s="1"/>
      <c r="AJ87" s="1"/>
      <c r="AK87" s="1"/>
    </row>
    <row r="88" spans="9:46" x14ac:dyDescent="0.45">
      <c r="T88" s="9"/>
      <c r="U88" s="9"/>
      <c r="V88" s="39"/>
      <c r="AF88" s="9"/>
      <c r="AG88" s="39"/>
      <c r="AI88" s="1"/>
      <c r="AJ88" s="1"/>
      <c r="AK88" s="1"/>
    </row>
    <row r="99" spans="11:46" x14ac:dyDescent="0.45">
      <c r="K99" s="11"/>
    </row>
    <row r="109" spans="11:46" x14ac:dyDescent="0.45">
      <c r="AN109" s="9"/>
      <c r="AO109" s="9"/>
      <c r="AP109" s="9"/>
      <c r="AQ109" s="9"/>
      <c r="AR109" s="9"/>
      <c r="AS109" s="9"/>
      <c r="AT109" s="9"/>
    </row>
    <row r="110" spans="11:46" ht="14.65" thickBot="1" x14ac:dyDescent="0.5">
      <c r="AN110" s="9" t="s">
        <v>386</v>
      </c>
      <c r="AO110" s="9"/>
      <c r="AP110" s="9"/>
      <c r="AQ110" s="9"/>
      <c r="AR110" s="9"/>
      <c r="AS110" s="9"/>
      <c r="AT110" s="9"/>
    </row>
    <row r="111" spans="11:46" ht="14.65" thickBot="1" x14ac:dyDescent="0.5">
      <c r="K111" s="9" t="s">
        <v>159</v>
      </c>
      <c r="L111" s="9"/>
      <c r="M111" s="9"/>
      <c r="N111" s="9"/>
      <c r="O111" s="9"/>
      <c r="P111" s="9"/>
      <c r="Q111" s="9"/>
      <c r="AN111" s="4" t="s">
        <v>9</v>
      </c>
      <c r="AO111" s="79">
        <v>-1</v>
      </c>
      <c r="AP111" s="5"/>
      <c r="AQ111" s="79"/>
      <c r="AR111" s="5"/>
      <c r="AS111" s="79">
        <v>0.05</v>
      </c>
      <c r="AT111" s="336">
        <v>1</v>
      </c>
    </row>
    <row r="112" spans="11:46" ht="14.65" thickBot="1" x14ac:dyDescent="0.5">
      <c r="K112" s="4" t="s">
        <v>9</v>
      </c>
      <c r="L112" s="45">
        <v>1</v>
      </c>
      <c r="M112" s="45"/>
      <c r="N112" s="45"/>
      <c r="O112" s="45"/>
      <c r="P112" s="45">
        <v>1.4</v>
      </c>
      <c r="Q112" s="156">
        <v>2</v>
      </c>
      <c r="T112" s="10" t="s">
        <v>94</v>
      </c>
      <c r="AE112" s="9" t="s">
        <v>199</v>
      </c>
      <c r="AN112" s="7" t="s">
        <v>10</v>
      </c>
      <c r="AO112" s="247">
        <v>0</v>
      </c>
      <c r="AP112" s="247">
        <v>0.28999999999999998</v>
      </c>
      <c r="AQ112" s="247">
        <v>0.3</v>
      </c>
      <c r="AR112" s="247">
        <v>0.69</v>
      </c>
      <c r="AS112" s="247">
        <v>0.7</v>
      </c>
      <c r="AT112" s="248">
        <v>1</v>
      </c>
    </row>
    <row r="113" spans="11:43" ht="14.25" customHeight="1" thickBot="1" x14ac:dyDescent="0.5">
      <c r="K113" s="7" t="s">
        <v>10</v>
      </c>
      <c r="L113" s="247">
        <v>0</v>
      </c>
      <c r="M113" s="247">
        <v>0.28999999999999998</v>
      </c>
      <c r="N113" s="247">
        <v>0.3</v>
      </c>
      <c r="O113" s="247">
        <v>0.69</v>
      </c>
      <c r="P113" s="247">
        <v>0.7</v>
      </c>
      <c r="Q113" s="248">
        <v>1</v>
      </c>
      <c r="T113" s="4" t="s">
        <v>9</v>
      </c>
      <c r="U113" s="5">
        <v>50</v>
      </c>
      <c r="V113" s="5"/>
      <c r="W113" s="5"/>
      <c r="X113" s="5"/>
      <c r="Y113" s="5">
        <v>11</v>
      </c>
      <c r="Z113" s="6">
        <v>5</v>
      </c>
      <c r="AE113" s="4" t="s">
        <v>9</v>
      </c>
      <c r="AF113" s="233">
        <v>0.2</v>
      </c>
      <c r="AG113" s="69"/>
      <c r="AH113" s="69"/>
      <c r="AI113" s="69"/>
      <c r="AJ113" s="69">
        <v>0.08</v>
      </c>
      <c r="AK113" s="70">
        <v>0.04</v>
      </c>
      <c r="AN113" s="50"/>
      <c r="AO113" s="9"/>
    </row>
    <row r="114" spans="11:43" ht="14.65" thickBot="1" x14ac:dyDescent="0.5">
      <c r="T114" s="7" t="s">
        <v>10</v>
      </c>
      <c r="U114" s="247">
        <v>0</v>
      </c>
      <c r="V114" s="247">
        <v>0.28999999999999998</v>
      </c>
      <c r="W114" s="247">
        <v>0.3</v>
      </c>
      <c r="X114" s="247">
        <v>0.69</v>
      </c>
      <c r="Y114" s="247">
        <v>0.7</v>
      </c>
      <c r="Z114" s="248">
        <v>1</v>
      </c>
      <c r="AE114" s="7" t="s">
        <v>10</v>
      </c>
      <c r="AF114" s="247">
        <v>0</v>
      </c>
      <c r="AG114" s="247">
        <v>0.28999999999999998</v>
      </c>
      <c r="AH114" s="247">
        <v>0.3</v>
      </c>
      <c r="AI114" s="247">
        <v>0.69</v>
      </c>
      <c r="AJ114" s="247">
        <v>0.7</v>
      </c>
      <c r="AK114" s="248">
        <v>1</v>
      </c>
      <c r="AN114" s="48" t="s">
        <v>126</v>
      </c>
    </row>
    <row r="115" spans="11:43" x14ac:dyDescent="0.45">
      <c r="K115" s="48" t="s">
        <v>126</v>
      </c>
      <c r="AO115" s="10" t="s">
        <v>200</v>
      </c>
      <c r="AP115" s="10" t="s">
        <v>89</v>
      </c>
    </row>
    <row r="116" spans="11:43" x14ac:dyDescent="0.45">
      <c r="L116" s="71" t="s">
        <v>116</v>
      </c>
      <c r="M116" s="71" t="s">
        <v>89</v>
      </c>
      <c r="T116" s="51" t="s">
        <v>126</v>
      </c>
      <c r="AE116" s="138" t="s">
        <v>147</v>
      </c>
      <c r="AN116" s="54" t="s">
        <v>112</v>
      </c>
      <c r="AO116" s="220">
        <f>SLOPE(AO112:AS112,AO111:AS111)</f>
        <v>0.66666666666666663</v>
      </c>
      <c r="AP116" s="220">
        <f>SLOPE(AS112:AT112,AS111:AT111)</f>
        <v>0.31578947368421051</v>
      </c>
      <c r="AQ116" s="220"/>
    </row>
    <row r="117" spans="11:43" x14ac:dyDescent="0.45">
      <c r="K117" s="8" t="s">
        <v>112</v>
      </c>
      <c r="L117" s="9">
        <v>1.75</v>
      </c>
      <c r="M117" s="9">
        <v>0.5</v>
      </c>
      <c r="U117" s="112" t="s">
        <v>116</v>
      </c>
      <c r="V117" s="112" t="s">
        <v>89</v>
      </c>
      <c r="AF117" s="129" t="s">
        <v>200</v>
      </c>
      <c r="AG117" s="129" t="s">
        <v>89</v>
      </c>
      <c r="AN117" s="54" t="s">
        <v>113</v>
      </c>
      <c r="AO117" s="220">
        <f>INTERCEPT(AO112:AS112,AO111:AS111)</f>
        <v>0.66666666666666663</v>
      </c>
      <c r="AP117" s="220">
        <f>INTERCEPT(AS112:AT112,AS111:AT111)</f>
        <v>0.68421052631578949</v>
      </c>
      <c r="AQ117" s="220"/>
    </row>
    <row r="118" spans="11:43" x14ac:dyDescent="0.45">
      <c r="K118" s="8" t="s">
        <v>113</v>
      </c>
      <c r="L118" s="9">
        <v>-1.75</v>
      </c>
      <c r="M118" s="9">
        <v>0</v>
      </c>
      <c r="T118" s="54" t="s">
        <v>112</v>
      </c>
      <c r="U118" s="9">
        <v>-1.7899999999999999E-2</v>
      </c>
      <c r="V118" s="9">
        <v>-0.05</v>
      </c>
      <c r="AE118" s="73" t="s">
        <v>112</v>
      </c>
      <c r="AF118" s="343">
        <f>SLOPE(AF114:AJ114,AF113:AJ113)</f>
        <v>-5.8333333333333313</v>
      </c>
      <c r="AG118" s="129">
        <f>SLOPE(AJ114:AK114,AJ113:AK113)</f>
        <v>-7.5000000000000009</v>
      </c>
      <c r="AI118" s="1"/>
      <c r="AJ118" s="52"/>
      <c r="AK118" s="52"/>
      <c r="AN118" s="9"/>
      <c r="AO118" s="9"/>
      <c r="AP118" s="9"/>
    </row>
    <row r="119" spans="11:43" x14ac:dyDescent="0.45">
      <c r="K119" s="8"/>
      <c r="L119" s="9"/>
      <c r="M119" s="39"/>
      <c r="T119" s="54" t="s">
        <v>113</v>
      </c>
      <c r="U119" s="9">
        <v>0.89739999999999998</v>
      </c>
      <c r="V119" s="9">
        <v>1.25</v>
      </c>
      <c r="AE119" s="73" t="s">
        <v>113</v>
      </c>
      <c r="AF119" s="343">
        <f>INTERCEPT(AF114:AJ114,AF113:AJ113)</f>
        <v>1.1666666666666665</v>
      </c>
      <c r="AG119" s="129">
        <f>INTERCEPT(AJ114:AK114,AJ113:AK113)</f>
        <v>1.3</v>
      </c>
      <c r="AI119" s="1"/>
      <c r="AJ119" s="1"/>
      <c r="AK119" s="1"/>
      <c r="AN119" s="9"/>
      <c r="AO119" s="9"/>
      <c r="AP119" s="39"/>
    </row>
    <row r="120" spans="11:43" x14ac:dyDescent="0.45">
      <c r="T120" s="54"/>
      <c r="U120" s="9"/>
      <c r="V120" s="9"/>
      <c r="AF120" s="9"/>
      <c r="AG120" s="9"/>
      <c r="AH120" s="12"/>
      <c r="AI120" s="1"/>
      <c r="AJ120" s="1"/>
      <c r="AK120" s="1"/>
      <c r="AN120" s="9"/>
      <c r="AO120" s="9"/>
      <c r="AP120" s="9"/>
    </row>
    <row r="121" spans="11:43" x14ac:dyDescent="0.45">
      <c r="T121" s="103"/>
      <c r="U121" s="103"/>
      <c r="V121" s="103"/>
      <c r="W121" s="103"/>
      <c r="X121" s="103"/>
      <c r="Y121" s="103"/>
      <c r="Z121" s="103"/>
      <c r="AF121" s="9"/>
      <c r="AG121" s="39"/>
      <c r="AI121" s="1"/>
      <c r="AJ121" s="1"/>
      <c r="AK121" s="1"/>
    </row>
    <row r="122" spans="11:43" x14ac:dyDescent="0.45">
      <c r="T122" s="103"/>
      <c r="U122" s="103"/>
      <c r="V122" s="103"/>
      <c r="W122" s="103"/>
      <c r="X122" s="103"/>
      <c r="Y122" s="103"/>
      <c r="Z122" s="103"/>
    </row>
    <row r="123" spans="11:43" x14ac:dyDescent="0.45">
      <c r="T123" s="103"/>
      <c r="U123" s="103"/>
      <c r="V123" s="103"/>
      <c r="W123" s="103"/>
      <c r="X123" s="103"/>
      <c r="Y123" s="103"/>
      <c r="Z123" s="103"/>
    </row>
    <row r="124" spans="11:43" x14ac:dyDescent="0.45">
      <c r="T124" s="103"/>
      <c r="U124" s="103"/>
      <c r="V124" s="103"/>
      <c r="W124" s="103"/>
      <c r="X124" s="103"/>
      <c r="Y124" s="103"/>
      <c r="Z124" s="103"/>
    </row>
    <row r="125" spans="11:43" x14ac:dyDescent="0.45">
      <c r="T125" s="103"/>
      <c r="U125" s="103"/>
      <c r="V125" s="103"/>
      <c r="W125" s="103"/>
      <c r="X125" s="103"/>
      <c r="Y125" s="103"/>
      <c r="Z125" s="103"/>
    </row>
    <row r="126" spans="11:43" x14ac:dyDescent="0.45">
      <c r="T126" s="103"/>
      <c r="U126" s="103"/>
      <c r="V126" s="103"/>
      <c r="W126" s="103"/>
      <c r="X126" s="103"/>
      <c r="Y126" s="103"/>
      <c r="Z126" s="103"/>
    </row>
    <row r="127" spans="11:43" x14ac:dyDescent="0.45">
      <c r="T127" s="103"/>
      <c r="U127" s="103"/>
      <c r="V127" s="103"/>
      <c r="W127" s="103"/>
      <c r="X127" s="103"/>
      <c r="Y127" s="103"/>
      <c r="Z127" s="103"/>
    </row>
    <row r="128" spans="11:43" x14ac:dyDescent="0.45">
      <c r="T128" s="103"/>
      <c r="U128" s="103"/>
      <c r="V128" s="103"/>
      <c r="W128" s="103"/>
      <c r="X128" s="103"/>
      <c r="Y128" s="103"/>
      <c r="Z128" s="103"/>
    </row>
    <row r="129" spans="11:46" x14ac:dyDescent="0.45">
      <c r="T129" s="103"/>
      <c r="U129" s="103"/>
      <c r="V129" s="103"/>
      <c r="W129" s="103"/>
      <c r="X129" s="103"/>
      <c r="Y129" s="103"/>
      <c r="Z129" s="103"/>
    </row>
    <row r="130" spans="11:46" x14ac:dyDescent="0.45">
      <c r="N130" s="1"/>
      <c r="O130" s="2"/>
      <c r="P130" s="2"/>
      <c r="Q130" s="2"/>
      <c r="R130" s="131"/>
      <c r="T130" s="103"/>
      <c r="U130" s="103"/>
      <c r="V130" s="103"/>
      <c r="W130" s="103"/>
      <c r="X130" s="103"/>
      <c r="Y130" s="103"/>
      <c r="Z130" s="103"/>
    </row>
    <row r="131" spans="11:46" x14ac:dyDescent="0.45">
      <c r="N131" s="1"/>
      <c r="O131" s="2"/>
      <c r="P131" s="2"/>
      <c r="Q131" s="2"/>
      <c r="R131" s="131"/>
      <c r="T131" s="103"/>
      <c r="U131" s="103"/>
      <c r="V131" s="103"/>
      <c r="W131" s="103"/>
      <c r="X131" s="103"/>
      <c r="Y131" s="103"/>
      <c r="Z131" s="103"/>
    </row>
    <row r="132" spans="11:46" x14ac:dyDescent="0.45">
      <c r="O132" s="1"/>
      <c r="P132" s="1"/>
      <c r="Q132" s="1"/>
      <c r="R132" s="132"/>
      <c r="T132" s="103"/>
      <c r="U132" s="103"/>
      <c r="V132" s="103"/>
      <c r="W132" s="103"/>
      <c r="X132" s="103"/>
      <c r="Y132" s="103"/>
      <c r="Z132" s="103"/>
    </row>
    <row r="133" spans="11:46" x14ac:dyDescent="0.45">
      <c r="O133" s="1"/>
      <c r="P133" s="1"/>
      <c r="Q133" s="1"/>
      <c r="R133" s="132"/>
      <c r="T133" s="103"/>
      <c r="U133" s="103"/>
      <c r="V133" s="103"/>
      <c r="W133" s="103"/>
      <c r="X133" s="103"/>
      <c r="Y133" s="103"/>
      <c r="Z133" s="103"/>
    </row>
    <row r="134" spans="11:46" x14ac:dyDescent="0.45">
      <c r="O134" s="1"/>
      <c r="P134" s="1"/>
      <c r="Q134" s="1"/>
      <c r="R134" s="132"/>
      <c r="T134" s="103"/>
      <c r="U134" s="103"/>
      <c r="V134" s="103"/>
      <c r="W134" s="103"/>
      <c r="X134" s="103"/>
      <c r="Y134" s="103"/>
      <c r="Z134" s="103"/>
    </row>
    <row r="135" spans="11:46" x14ac:dyDescent="0.45">
      <c r="O135" s="1"/>
      <c r="P135" s="1"/>
      <c r="Q135" s="1"/>
      <c r="R135" s="132"/>
      <c r="T135" s="103"/>
      <c r="U135" s="103"/>
      <c r="V135" s="103"/>
      <c r="W135" s="103"/>
      <c r="X135" s="103"/>
      <c r="Y135" s="103"/>
      <c r="Z135" s="103"/>
    </row>
    <row r="136" spans="11:46" x14ac:dyDescent="0.45">
      <c r="O136" s="2"/>
      <c r="P136" s="2"/>
      <c r="Q136" s="2"/>
      <c r="R136" s="131"/>
      <c r="T136" s="103"/>
      <c r="U136" s="103"/>
      <c r="V136" s="103"/>
      <c r="W136" s="103"/>
      <c r="X136" s="103"/>
      <c r="Y136" s="103"/>
      <c r="Z136" s="103"/>
    </row>
    <row r="137" spans="11:46" x14ac:dyDescent="0.45">
      <c r="O137" s="2"/>
      <c r="P137" s="2"/>
      <c r="Q137" s="2"/>
      <c r="R137" s="131"/>
      <c r="T137" s="103"/>
      <c r="U137" s="103"/>
      <c r="V137" s="103"/>
      <c r="W137" s="103"/>
      <c r="X137" s="103"/>
      <c r="Y137" s="103"/>
      <c r="Z137" s="103"/>
    </row>
    <row r="138" spans="11:46" x14ac:dyDescent="0.45">
      <c r="O138" s="1"/>
      <c r="P138" s="1"/>
      <c r="Q138" s="1"/>
      <c r="R138" s="132"/>
      <c r="T138" s="103"/>
      <c r="U138" s="103"/>
      <c r="V138" s="103"/>
      <c r="W138" s="103"/>
      <c r="X138" s="103"/>
      <c r="Y138" s="103"/>
      <c r="Z138" s="103"/>
    </row>
    <row r="139" spans="11:46" x14ac:dyDescent="0.45">
      <c r="O139" s="1"/>
      <c r="P139" s="1"/>
      <c r="Q139" s="1"/>
      <c r="R139" s="132"/>
      <c r="T139" s="103"/>
      <c r="U139" s="103"/>
      <c r="V139" s="103"/>
      <c r="W139" s="103"/>
      <c r="X139" s="103"/>
      <c r="Y139" s="103"/>
      <c r="Z139" s="103"/>
    </row>
    <row r="140" spans="11:46" x14ac:dyDescent="0.45">
      <c r="O140" s="1"/>
      <c r="P140" s="1"/>
      <c r="Q140" s="1"/>
      <c r="R140" s="132"/>
      <c r="T140" s="103"/>
      <c r="U140" s="103"/>
      <c r="V140" s="103"/>
      <c r="W140" s="103"/>
      <c r="X140" s="103"/>
      <c r="Y140" s="103"/>
      <c r="Z140" s="103"/>
    </row>
    <row r="141" spans="11:46" x14ac:dyDescent="0.45">
      <c r="O141" s="1"/>
      <c r="P141" s="1"/>
      <c r="Q141" s="1"/>
      <c r="R141" s="132"/>
      <c r="T141" s="103"/>
      <c r="U141" s="103"/>
      <c r="V141" s="103"/>
      <c r="W141" s="103"/>
      <c r="X141" s="103"/>
      <c r="Y141" s="103"/>
      <c r="Z141" s="103"/>
    </row>
    <row r="142" spans="11:46" x14ac:dyDescent="0.45">
      <c r="O142" s="1"/>
      <c r="P142" s="1"/>
      <c r="Q142" s="1"/>
      <c r="R142" s="132"/>
    </row>
    <row r="143" spans="11:46" x14ac:dyDescent="0.45">
      <c r="O143" s="1"/>
      <c r="P143" s="1"/>
      <c r="Q143" s="1"/>
      <c r="R143" s="132"/>
    </row>
    <row r="144" spans="11:46" ht="14.65" thickBot="1" x14ac:dyDescent="0.5">
      <c r="K144" s="9" t="s">
        <v>252</v>
      </c>
      <c r="L144" s="9"/>
      <c r="M144" s="9"/>
      <c r="N144" s="9"/>
      <c r="O144" s="9"/>
      <c r="P144" s="9"/>
      <c r="Q144" s="9"/>
      <c r="R144" s="132"/>
      <c r="AN144" s="9" t="s">
        <v>385</v>
      </c>
      <c r="AO144" s="9"/>
      <c r="AP144" s="9"/>
      <c r="AQ144" s="9"/>
      <c r="AR144" s="9"/>
      <c r="AS144" s="9"/>
      <c r="AT144" s="9"/>
    </row>
    <row r="145" spans="11:46" ht="14.65" thickBot="1" x14ac:dyDescent="0.5">
      <c r="K145" s="587" t="s">
        <v>9</v>
      </c>
      <c r="L145" s="45">
        <v>1.8</v>
      </c>
      <c r="M145" s="45"/>
      <c r="N145" s="45"/>
      <c r="O145" s="45"/>
      <c r="P145" s="45"/>
      <c r="Q145" s="156">
        <v>1</v>
      </c>
      <c r="R145" s="132"/>
      <c r="T145" s="10" t="s">
        <v>174</v>
      </c>
      <c r="U145" s="103"/>
      <c r="V145" s="103"/>
      <c r="W145" s="103"/>
      <c r="X145" s="103"/>
      <c r="Y145" s="103"/>
      <c r="Z145" s="103"/>
      <c r="AN145" s="4" t="s">
        <v>9</v>
      </c>
      <c r="AO145" s="79">
        <v>-1</v>
      </c>
      <c r="AP145" s="5"/>
      <c r="AQ145" s="79"/>
      <c r="AR145" s="5"/>
      <c r="AS145" s="5">
        <v>2E-3</v>
      </c>
      <c r="AT145" s="336">
        <v>1</v>
      </c>
    </row>
    <row r="146" spans="11:46" ht="14.65" thickBot="1" x14ac:dyDescent="0.5">
      <c r="K146" s="588"/>
      <c r="L146" s="237">
        <v>0.2</v>
      </c>
      <c r="M146" s="237"/>
      <c r="N146" s="237"/>
      <c r="O146" s="237"/>
      <c r="P146" s="237"/>
      <c r="Q146" s="238">
        <v>1</v>
      </c>
      <c r="R146" s="132"/>
      <c r="T146" s="4" t="s">
        <v>9</v>
      </c>
      <c r="U146" s="104">
        <v>30</v>
      </c>
      <c r="V146" s="104"/>
      <c r="W146" s="104"/>
      <c r="X146" s="104"/>
      <c r="Y146" s="104"/>
      <c r="Z146" s="105">
        <v>0</v>
      </c>
      <c r="AE146" s="9" t="s">
        <v>398</v>
      </c>
      <c r="AN146" s="7" t="s">
        <v>10</v>
      </c>
      <c r="AO146" s="247">
        <v>0</v>
      </c>
      <c r="AP146" s="247">
        <v>0.28999999999999998</v>
      </c>
      <c r="AQ146" s="247">
        <v>0.3</v>
      </c>
      <c r="AR146" s="247">
        <v>0.69</v>
      </c>
      <c r="AS146" s="247">
        <v>0.7</v>
      </c>
      <c r="AT146" s="248">
        <v>1</v>
      </c>
    </row>
    <row r="147" spans="11:46" ht="14.65" thickBot="1" x14ac:dyDescent="0.5">
      <c r="K147" s="7" t="s">
        <v>10</v>
      </c>
      <c r="L147" s="247">
        <v>0</v>
      </c>
      <c r="M147" s="247">
        <v>0.28999999999999998</v>
      </c>
      <c r="N147" s="247">
        <v>0.3</v>
      </c>
      <c r="O147" s="247">
        <v>0.69</v>
      </c>
      <c r="P147" s="247">
        <v>0.7</v>
      </c>
      <c r="Q147" s="248">
        <v>1</v>
      </c>
      <c r="R147" s="132"/>
      <c r="T147" s="7" t="s">
        <v>10</v>
      </c>
      <c r="U147" s="247">
        <v>0</v>
      </c>
      <c r="V147" s="247">
        <v>0.28999999999999998</v>
      </c>
      <c r="W147" s="247">
        <v>0.3</v>
      </c>
      <c r="X147" s="247">
        <v>0.69</v>
      </c>
      <c r="Y147" s="247">
        <v>0.7</v>
      </c>
      <c r="Z147" s="248">
        <v>1</v>
      </c>
      <c r="AE147" s="4" t="s">
        <v>9</v>
      </c>
      <c r="AF147" s="239">
        <v>100</v>
      </c>
      <c r="AG147" s="49"/>
      <c r="AH147" s="49">
        <v>50</v>
      </c>
      <c r="AI147" s="49"/>
      <c r="AJ147" s="49"/>
      <c r="AK147" s="240">
        <v>10</v>
      </c>
    </row>
    <row r="148" spans="11:46" ht="14.65" thickBot="1" x14ac:dyDescent="0.5">
      <c r="R148" s="132"/>
      <c r="T148" s="103"/>
      <c r="U148" s="103"/>
      <c r="V148" s="103"/>
      <c r="W148" s="103"/>
      <c r="X148" s="103"/>
      <c r="Y148" s="103"/>
      <c r="Z148" s="103"/>
      <c r="AE148" s="7" t="s">
        <v>10</v>
      </c>
      <c r="AF148" s="247">
        <v>0</v>
      </c>
      <c r="AG148" s="247">
        <v>0.28999999999999998</v>
      </c>
      <c r="AH148" s="247">
        <v>0.3</v>
      </c>
      <c r="AI148" s="247">
        <v>0.69</v>
      </c>
      <c r="AJ148" s="247">
        <v>0.7</v>
      </c>
      <c r="AK148" s="248">
        <v>1</v>
      </c>
      <c r="AN148" s="51" t="s">
        <v>126</v>
      </c>
    </row>
    <row r="149" spans="11:46" x14ac:dyDescent="0.45">
      <c r="K149" s="48" t="s">
        <v>126</v>
      </c>
      <c r="R149" s="132"/>
      <c r="T149" s="10" t="s">
        <v>150</v>
      </c>
      <c r="X149" s="103"/>
      <c r="Y149" s="103"/>
      <c r="Z149" s="103"/>
      <c r="AO149" s="10" t="s">
        <v>200</v>
      </c>
      <c r="AP149" s="10" t="s">
        <v>89</v>
      </c>
    </row>
    <row r="150" spans="11:46" x14ac:dyDescent="0.45">
      <c r="L150" s="10" t="s">
        <v>201</v>
      </c>
      <c r="M150" s="48" t="s">
        <v>164</v>
      </c>
      <c r="R150" s="132"/>
      <c r="T150" s="102" t="s">
        <v>112</v>
      </c>
      <c r="U150" s="106">
        <v>-3.3300000000000003E-2</v>
      </c>
      <c r="W150" s="103"/>
      <c r="X150" s="103"/>
      <c r="Y150" s="103"/>
      <c r="Z150" s="103"/>
      <c r="AE150" s="138" t="s">
        <v>147</v>
      </c>
      <c r="AN150" s="54" t="s">
        <v>112</v>
      </c>
      <c r="AO150" s="220">
        <f>SLOPE(AO146:AS146,AO145:AS145)</f>
        <v>0.69860279441117767</v>
      </c>
      <c r="AP150" s="220">
        <f>SLOPE(AS146:AT146,AS145:AT145)</f>
        <v>0.3006012024048097</v>
      </c>
      <c r="AQ150" s="220"/>
    </row>
    <row r="151" spans="11:46" x14ac:dyDescent="0.45">
      <c r="K151" s="112" t="s">
        <v>112</v>
      </c>
      <c r="L151" s="10">
        <v>1.25</v>
      </c>
      <c r="M151" s="9">
        <v>-1.25</v>
      </c>
      <c r="R151" s="132"/>
      <c r="T151" s="102" t="s">
        <v>113</v>
      </c>
      <c r="U151" s="106">
        <v>1</v>
      </c>
      <c r="V151" s="103"/>
      <c r="W151" s="103"/>
      <c r="X151" s="103"/>
      <c r="Y151" s="103"/>
      <c r="Z151" s="103"/>
      <c r="AF151" s="129" t="s">
        <v>115</v>
      </c>
      <c r="AG151" s="129" t="s">
        <v>404</v>
      </c>
      <c r="AN151" s="54" t="s">
        <v>113</v>
      </c>
      <c r="AO151" s="220">
        <f>INTERCEPT(AO146:AS146,AO145:AS145)</f>
        <v>0.69860279441117767</v>
      </c>
      <c r="AP151" s="220">
        <f>INTERCEPT(AS146:AT146,AS145:AT145)</f>
        <v>0.6993987975951903</v>
      </c>
      <c r="AQ151" s="220"/>
    </row>
    <row r="152" spans="11:46" x14ac:dyDescent="0.45">
      <c r="K152" s="112" t="s">
        <v>113</v>
      </c>
      <c r="L152" s="10">
        <v>-0.25</v>
      </c>
      <c r="M152" s="9">
        <v>2.25</v>
      </c>
      <c r="T152" s="107"/>
      <c r="U152" s="103"/>
      <c r="V152" s="103"/>
      <c r="X152" s="103"/>
      <c r="Y152" s="103"/>
      <c r="Z152" s="103"/>
      <c r="AE152" s="341" t="s">
        <v>112</v>
      </c>
      <c r="AF152" s="129">
        <f>SLOPE(AF148:AJ148,AF147:AJ147)</f>
        <v>-6.0000000000000001E-3</v>
      </c>
      <c r="AG152" s="129">
        <f>SLOPE(AH148:AK148,AH147:AK147)</f>
        <v>-1.7500000000000002E-2</v>
      </c>
      <c r="AI152" s="1"/>
      <c r="AJ152" s="52"/>
      <c r="AK152" s="52"/>
      <c r="AN152" s="54"/>
      <c r="AO152" s="9"/>
      <c r="AP152" s="9"/>
    </row>
    <row r="153" spans="11:46" x14ac:dyDescent="0.45">
      <c r="K153" s="112"/>
      <c r="L153" s="9"/>
      <c r="M153" s="39"/>
      <c r="T153" s="54"/>
      <c r="U153" s="9"/>
      <c r="V153" s="39"/>
      <c r="AE153" s="341" t="s">
        <v>113</v>
      </c>
      <c r="AF153" s="129">
        <f>INTERCEPT(AF148:AJ148,AF147:AJ147)</f>
        <v>0.6</v>
      </c>
      <c r="AG153" s="129">
        <f>INTERCEPT(AH148:AK148,AH147:AK147)</f>
        <v>1.175</v>
      </c>
      <c r="AI153" s="1"/>
      <c r="AJ153" s="1"/>
      <c r="AK153" s="1"/>
      <c r="AN153" s="9"/>
      <c r="AO153" s="9"/>
      <c r="AP153" s="39"/>
    </row>
    <row r="154" spans="11:46" x14ac:dyDescent="0.45">
      <c r="AF154" s="9"/>
      <c r="AG154" s="9"/>
      <c r="AH154" s="12"/>
      <c r="AI154" s="1"/>
      <c r="AJ154" s="1"/>
      <c r="AK154" s="1"/>
      <c r="AN154" s="9"/>
      <c r="AO154" s="9"/>
      <c r="AP154" s="9"/>
    </row>
    <row r="155" spans="11:46" x14ac:dyDescent="0.45">
      <c r="AF155" s="9"/>
      <c r="AG155" s="39"/>
      <c r="AI155" s="1"/>
      <c r="AJ155" s="1"/>
      <c r="AK155" s="1"/>
    </row>
    <row r="164" spans="14:29" x14ac:dyDescent="0.45">
      <c r="N164" s="1"/>
      <c r="O164" s="2"/>
      <c r="P164" s="2"/>
      <c r="Q164" s="2"/>
      <c r="R164" s="131"/>
    </row>
    <row r="165" spans="14:29" x14ac:dyDescent="0.45">
      <c r="N165" s="1"/>
      <c r="O165" s="2"/>
      <c r="P165" s="2"/>
      <c r="Q165" s="2"/>
      <c r="R165" s="131"/>
    </row>
    <row r="166" spans="14:29" x14ac:dyDescent="0.45">
      <c r="O166" s="1"/>
      <c r="P166" s="1"/>
      <c r="Q166" s="1"/>
      <c r="R166" s="132"/>
    </row>
    <row r="167" spans="14:29" x14ac:dyDescent="0.45">
      <c r="O167" s="1"/>
      <c r="P167" s="1"/>
      <c r="Q167" s="1"/>
      <c r="R167" s="132"/>
    </row>
    <row r="168" spans="14:29" x14ac:dyDescent="0.45">
      <c r="O168" s="1"/>
      <c r="P168" s="1"/>
      <c r="Q168" s="1"/>
      <c r="R168" s="132"/>
      <c r="AA168" s="2"/>
      <c r="AB168" s="2"/>
      <c r="AC168" s="131"/>
    </row>
    <row r="169" spans="14:29" x14ac:dyDescent="0.45">
      <c r="O169" s="1"/>
      <c r="P169" s="1"/>
      <c r="Q169" s="1"/>
      <c r="R169" s="132"/>
      <c r="AA169" s="1"/>
      <c r="AB169" s="1"/>
      <c r="AC169" s="132"/>
    </row>
    <row r="170" spans="14:29" x14ac:dyDescent="0.45">
      <c r="O170" s="2"/>
      <c r="P170" s="2"/>
      <c r="Q170" s="2"/>
      <c r="R170" s="131"/>
      <c r="AA170" s="1"/>
      <c r="AB170" s="1"/>
      <c r="AC170" s="132"/>
    </row>
    <row r="171" spans="14:29" x14ac:dyDescent="0.45">
      <c r="O171" s="2"/>
      <c r="P171" s="2"/>
      <c r="Q171" s="2"/>
      <c r="R171" s="131"/>
    </row>
    <row r="172" spans="14:29" x14ac:dyDescent="0.45">
      <c r="O172" s="1"/>
      <c r="P172" s="1"/>
      <c r="Q172" s="1"/>
      <c r="R172" s="132"/>
    </row>
    <row r="173" spans="14:29" x14ac:dyDescent="0.45">
      <c r="O173" s="1"/>
      <c r="P173" s="1"/>
      <c r="Q173" s="1"/>
      <c r="R173" s="132"/>
    </row>
    <row r="174" spans="14:29" x14ac:dyDescent="0.45">
      <c r="O174" s="1"/>
      <c r="P174" s="1"/>
      <c r="Q174" s="1"/>
      <c r="R174" s="132"/>
    </row>
    <row r="175" spans="14:29" x14ac:dyDescent="0.45">
      <c r="O175" s="1"/>
      <c r="P175" s="1"/>
      <c r="Q175" s="1"/>
      <c r="R175" s="132"/>
    </row>
    <row r="176" spans="14:29" x14ac:dyDescent="0.45">
      <c r="O176" s="1"/>
      <c r="P176" s="1"/>
      <c r="Q176" s="1"/>
      <c r="R176" s="132"/>
    </row>
    <row r="177" spans="11:46" x14ac:dyDescent="0.45">
      <c r="N177" s="1"/>
      <c r="O177" s="1"/>
      <c r="P177" s="1"/>
      <c r="Q177" s="1"/>
      <c r="R177" s="132"/>
    </row>
    <row r="178" spans="11:46" ht="14.65" thickBot="1" x14ac:dyDescent="0.5">
      <c r="N178" s="1"/>
      <c r="O178" s="1"/>
      <c r="P178" s="1"/>
      <c r="Q178" s="1"/>
      <c r="R178" s="132"/>
      <c r="T178" s="9" t="s">
        <v>277</v>
      </c>
      <c r="U178" s="9"/>
      <c r="V178" s="9"/>
      <c r="W178" s="9"/>
      <c r="AM178" s="9"/>
      <c r="AN178" s="9"/>
      <c r="AO178" s="9"/>
      <c r="AP178" s="9"/>
      <c r="AQ178" s="9"/>
      <c r="AR178" s="9"/>
      <c r="AS178" s="9"/>
      <c r="AT178" s="9"/>
    </row>
    <row r="179" spans="11:46" ht="28.9" thickBot="1" x14ac:dyDescent="0.5">
      <c r="N179" s="1"/>
      <c r="O179" s="1"/>
      <c r="P179" s="1"/>
      <c r="Q179" s="1"/>
      <c r="R179" s="132"/>
      <c r="S179" s="590" t="s">
        <v>207</v>
      </c>
      <c r="T179" s="4" t="s">
        <v>338</v>
      </c>
      <c r="U179" s="5">
        <v>0</v>
      </c>
      <c r="V179" s="5"/>
      <c r="W179" s="16"/>
      <c r="X179" s="5"/>
      <c r="Y179" s="5">
        <v>50</v>
      </c>
      <c r="Z179" s="75">
        <v>300</v>
      </c>
      <c r="AA179" s="1"/>
      <c r="AB179" s="1"/>
      <c r="AC179" s="132"/>
      <c r="AN179" s="9" t="s">
        <v>387</v>
      </c>
      <c r="AO179" s="9"/>
      <c r="AP179" s="9"/>
      <c r="AQ179" s="9"/>
      <c r="AR179" s="9"/>
      <c r="AS179" s="9"/>
      <c r="AT179" s="9"/>
    </row>
    <row r="180" spans="11:46" ht="28.5" x14ac:dyDescent="0.45">
      <c r="K180" s="1"/>
      <c r="L180" s="1"/>
      <c r="M180" s="1"/>
      <c r="N180" s="1"/>
      <c r="O180" s="1"/>
      <c r="P180" s="1"/>
      <c r="Q180" s="1"/>
      <c r="R180" s="132"/>
      <c r="S180" s="590"/>
      <c r="T180" s="74" t="s">
        <v>339</v>
      </c>
      <c r="U180" s="19">
        <v>0</v>
      </c>
      <c r="V180" s="19"/>
      <c r="W180" s="2"/>
      <c r="X180" s="19"/>
      <c r="Y180" s="19">
        <v>100</v>
      </c>
      <c r="Z180" s="80">
        <v>300</v>
      </c>
      <c r="AN180" s="4" t="s">
        <v>9</v>
      </c>
      <c r="AO180" s="79">
        <v>-1</v>
      </c>
      <c r="AP180" s="45"/>
      <c r="AQ180" s="79"/>
      <c r="AR180" s="45"/>
      <c r="AS180" s="79">
        <v>5.0000000000000001E-3</v>
      </c>
      <c r="AT180" s="336">
        <v>1</v>
      </c>
    </row>
    <row r="181" spans="11:46" ht="28.9" thickBot="1" x14ac:dyDescent="0.5">
      <c r="S181" s="590"/>
      <c r="T181" s="74" t="s">
        <v>340</v>
      </c>
      <c r="U181" s="19">
        <v>0</v>
      </c>
      <c r="V181" s="19"/>
      <c r="W181" s="2"/>
      <c r="X181" s="19"/>
      <c r="Y181" s="19">
        <v>150</v>
      </c>
      <c r="Z181" s="80">
        <v>300</v>
      </c>
      <c r="AN181" s="7" t="s">
        <v>10</v>
      </c>
      <c r="AO181" s="247">
        <v>0</v>
      </c>
      <c r="AP181" s="247">
        <v>0.28999999999999998</v>
      </c>
      <c r="AQ181" s="247">
        <v>0.3</v>
      </c>
      <c r="AR181" s="247">
        <v>0.69</v>
      </c>
      <c r="AS181" s="247">
        <v>0.7</v>
      </c>
      <c r="AT181" s="248">
        <v>1</v>
      </c>
    </row>
    <row r="182" spans="11:46" ht="28.5" x14ac:dyDescent="0.45">
      <c r="S182" s="590"/>
      <c r="T182" s="74" t="s">
        <v>341</v>
      </c>
      <c r="U182" s="19">
        <v>0</v>
      </c>
      <c r="V182" s="19"/>
      <c r="W182" s="2"/>
      <c r="X182" s="19"/>
      <c r="Y182" s="19">
        <v>200</v>
      </c>
      <c r="Z182" s="80">
        <v>300</v>
      </c>
      <c r="AO182" s="9"/>
    </row>
    <row r="183" spans="11:46" ht="14.65" thickBot="1" x14ac:dyDescent="0.5">
      <c r="T183" s="7" t="s">
        <v>10</v>
      </c>
      <c r="U183" s="247">
        <v>0</v>
      </c>
      <c r="V183" s="247">
        <v>0.28999999999999998</v>
      </c>
      <c r="W183" s="247">
        <v>0.3</v>
      </c>
      <c r="X183" s="247">
        <v>0.69</v>
      </c>
      <c r="Y183" s="247">
        <v>0.7</v>
      </c>
      <c r="Z183" s="248">
        <v>1</v>
      </c>
      <c r="AN183" s="51" t="s">
        <v>126</v>
      </c>
    </row>
    <row r="184" spans="11:46" x14ac:dyDescent="0.45">
      <c r="S184" s="174"/>
      <c r="T184" s="17"/>
      <c r="U184" s="1"/>
      <c r="V184" s="17"/>
      <c r="W184" s="17"/>
      <c r="X184" s="17"/>
      <c r="Y184" s="17"/>
      <c r="Z184" s="17"/>
      <c r="AO184" s="10" t="s">
        <v>200</v>
      </c>
      <c r="AP184" s="10" t="s">
        <v>89</v>
      </c>
    </row>
    <row r="185" spans="11:46" x14ac:dyDescent="0.45">
      <c r="T185" s="51" t="s">
        <v>126</v>
      </c>
      <c r="AN185" s="54" t="s">
        <v>112</v>
      </c>
      <c r="AO185" s="220">
        <f>SLOPE(AO181:AS181,AO180:AS180)</f>
        <v>0.69651741293532343</v>
      </c>
      <c r="AP185" s="220">
        <f>SLOPE(AS181:AT181,AS180:AT180)</f>
        <v>0.30150753768844224</v>
      </c>
      <c r="AQ185" s="220"/>
    </row>
    <row r="186" spans="11:46" x14ac:dyDescent="0.45">
      <c r="T186" s="9"/>
      <c r="U186" s="592" t="s">
        <v>338</v>
      </c>
      <c r="V186" s="592"/>
      <c r="W186" s="592" t="s">
        <v>342</v>
      </c>
      <c r="X186" s="592"/>
      <c r="Y186" s="592" t="s">
        <v>343</v>
      </c>
      <c r="Z186" s="592"/>
      <c r="AA186" s="592" t="s">
        <v>344</v>
      </c>
      <c r="AB186" s="592"/>
      <c r="AN186" s="54" t="s">
        <v>113</v>
      </c>
      <c r="AO186" s="220">
        <f>INTERCEPT(AO181:AS181,AO180:AS180)</f>
        <v>0.69651741293532332</v>
      </c>
      <c r="AP186" s="220">
        <f>INTERCEPT(AS181:AT181,AS180:AT180)</f>
        <v>0.69849246231155782</v>
      </c>
      <c r="AQ186" s="220"/>
    </row>
    <row r="187" spans="11:46" x14ac:dyDescent="0.45">
      <c r="U187" s="129" t="s">
        <v>116</v>
      </c>
      <c r="V187" s="129" t="s">
        <v>89</v>
      </c>
      <c r="W187" s="129" t="s">
        <v>116</v>
      </c>
      <c r="X187" s="129" t="s">
        <v>89</v>
      </c>
      <c r="Y187" s="129" t="s">
        <v>116</v>
      </c>
      <c r="Z187" s="129" t="s">
        <v>89</v>
      </c>
      <c r="AA187" s="129" t="s">
        <v>116</v>
      </c>
      <c r="AB187" s="129" t="s">
        <v>89</v>
      </c>
      <c r="AO187" s="9"/>
      <c r="AP187" s="12"/>
    </row>
    <row r="188" spans="11:46" x14ac:dyDescent="0.45">
      <c r="T188" s="90" t="s">
        <v>112</v>
      </c>
      <c r="U188" s="9">
        <v>1.4E-2</v>
      </c>
      <c r="V188" s="9">
        <v>1.1999999999999999E-3</v>
      </c>
      <c r="W188" s="9">
        <v>7.0000000000000001E-3</v>
      </c>
      <c r="X188" s="1">
        <v>1.5E-3</v>
      </c>
      <c r="Y188" s="1">
        <v>4.7000000000000002E-3</v>
      </c>
      <c r="Z188" s="1">
        <v>2E-3</v>
      </c>
      <c r="AA188" s="1">
        <v>3.5000000000000001E-3</v>
      </c>
      <c r="AB188" s="1">
        <v>3.0000000000000001E-3</v>
      </c>
      <c r="AO188" s="9"/>
    </row>
    <row r="189" spans="11:46" x14ac:dyDescent="0.45">
      <c r="T189" s="90" t="s">
        <v>113</v>
      </c>
      <c r="U189" s="9">
        <v>0</v>
      </c>
      <c r="V189" s="9">
        <v>0.64</v>
      </c>
      <c r="W189" s="9">
        <v>0</v>
      </c>
      <c r="X189" s="1">
        <v>0.55000000000000004</v>
      </c>
      <c r="Y189" s="1">
        <v>0</v>
      </c>
      <c r="Z189" s="1">
        <v>0.4</v>
      </c>
      <c r="AA189" s="1">
        <v>0</v>
      </c>
      <c r="AB189" s="1">
        <v>0.1</v>
      </c>
    </row>
    <row r="190" spans="11:46" x14ac:dyDescent="0.45">
      <c r="T190" s="9"/>
      <c r="U190" s="9"/>
      <c r="V190" s="9"/>
    </row>
    <row r="192" spans="11:46" x14ac:dyDescent="0.45">
      <c r="O192" s="311"/>
    </row>
    <row r="195" spans="1:1" x14ac:dyDescent="0.45">
      <c r="A195" s="1"/>
    </row>
    <row r="196" spans="1:1" x14ac:dyDescent="0.45">
      <c r="A196" s="1"/>
    </row>
    <row r="197" spans="1:1" x14ac:dyDescent="0.45">
      <c r="A197" s="1"/>
    </row>
    <row r="198" spans="1:1" x14ac:dyDescent="0.45">
      <c r="A198" s="1"/>
    </row>
    <row r="199" spans="1:1" x14ac:dyDescent="0.45">
      <c r="A199" s="1"/>
    </row>
    <row r="200" spans="1:1" x14ac:dyDescent="0.45">
      <c r="A200" s="1"/>
    </row>
    <row r="201" spans="1:1" x14ac:dyDescent="0.45">
      <c r="A201" s="1"/>
    </row>
    <row r="202" spans="1:1" x14ac:dyDescent="0.45">
      <c r="A202" s="1"/>
    </row>
    <row r="203" spans="1:1" x14ac:dyDescent="0.45">
      <c r="A203" s="1"/>
    </row>
    <row r="204" spans="1:1" x14ac:dyDescent="0.45">
      <c r="A204" s="1"/>
    </row>
    <row r="205" spans="1:1" x14ac:dyDescent="0.45">
      <c r="A205" s="1"/>
    </row>
    <row r="206" spans="1:1" x14ac:dyDescent="0.45">
      <c r="A206" s="1"/>
    </row>
    <row r="207" spans="1:1" x14ac:dyDescent="0.45">
      <c r="A207" s="1"/>
    </row>
    <row r="208" spans="1:1" x14ac:dyDescent="0.45">
      <c r="A208" s="1"/>
    </row>
    <row r="209" spans="1:46" x14ac:dyDescent="0.45">
      <c r="A209" s="1"/>
    </row>
    <row r="210" spans="1:46" x14ac:dyDescent="0.45">
      <c r="A210" s="1"/>
    </row>
    <row r="213" spans="1:46" ht="14.65" thickBot="1" x14ac:dyDescent="0.5">
      <c r="AN213" s="9" t="s">
        <v>388</v>
      </c>
      <c r="AO213" s="9"/>
      <c r="AP213" s="9"/>
      <c r="AQ213" s="9"/>
      <c r="AR213" s="9"/>
      <c r="AS213" s="9"/>
      <c r="AT213" s="9"/>
    </row>
    <row r="214" spans="1:46" x14ac:dyDescent="0.45">
      <c r="AN214" s="4" t="s">
        <v>9</v>
      </c>
      <c r="AO214" s="79">
        <v>-1</v>
      </c>
      <c r="AP214" s="45"/>
      <c r="AQ214" s="79"/>
      <c r="AR214" s="45"/>
      <c r="AS214" s="79">
        <v>0.3</v>
      </c>
      <c r="AT214" s="336">
        <v>1</v>
      </c>
    </row>
    <row r="215" spans="1:46" ht="14.65" thickBot="1" x14ac:dyDescent="0.5">
      <c r="T215" s="9" t="s">
        <v>278</v>
      </c>
      <c r="U215" s="9"/>
      <c r="V215" s="9"/>
      <c r="W215" s="9"/>
      <c r="AN215" s="7" t="s">
        <v>10</v>
      </c>
      <c r="AO215" s="247">
        <v>0</v>
      </c>
      <c r="AP215" s="247">
        <v>0.28999999999999998</v>
      </c>
      <c r="AQ215" s="247">
        <v>0.3</v>
      </c>
      <c r="AR215" s="247">
        <v>0.69</v>
      </c>
      <c r="AS215" s="247">
        <v>0.7</v>
      </c>
      <c r="AT215" s="248">
        <v>1</v>
      </c>
    </row>
    <row r="216" spans="1:46" ht="28.5" x14ac:dyDescent="0.45">
      <c r="S216" s="590" t="s">
        <v>207</v>
      </c>
      <c r="T216" s="4" t="s">
        <v>338</v>
      </c>
      <c r="U216" s="5">
        <v>0</v>
      </c>
      <c r="V216" s="5"/>
      <c r="W216" s="16"/>
      <c r="X216" s="5"/>
      <c r="Y216" s="5">
        <v>60</v>
      </c>
      <c r="Z216" s="75">
        <v>300</v>
      </c>
      <c r="AO216" s="9"/>
    </row>
    <row r="217" spans="1:46" ht="46.5" customHeight="1" x14ac:dyDescent="0.45">
      <c r="S217" s="590"/>
      <c r="T217" s="74" t="s">
        <v>339</v>
      </c>
      <c r="U217" s="19">
        <v>0</v>
      </c>
      <c r="V217" s="19"/>
      <c r="W217" s="2"/>
      <c r="X217" s="19"/>
      <c r="Y217" s="19">
        <v>120</v>
      </c>
      <c r="Z217" s="80">
        <v>300</v>
      </c>
      <c r="AN217" s="51" t="s">
        <v>126</v>
      </c>
    </row>
    <row r="218" spans="1:46" ht="28.5" x14ac:dyDescent="0.45">
      <c r="S218" s="590"/>
      <c r="T218" s="74" t="s">
        <v>340</v>
      </c>
      <c r="U218" s="19">
        <v>0</v>
      </c>
      <c r="V218" s="19"/>
      <c r="W218" s="2"/>
      <c r="X218" s="19"/>
      <c r="Y218" s="19">
        <v>180</v>
      </c>
      <c r="Z218" s="80">
        <v>300</v>
      </c>
      <c r="AO218" s="10" t="s">
        <v>200</v>
      </c>
      <c r="AP218" s="10" t="s">
        <v>89</v>
      </c>
    </row>
    <row r="219" spans="1:46" ht="28.5" x14ac:dyDescent="0.45">
      <c r="S219" s="590"/>
      <c r="T219" s="74" t="s">
        <v>341</v>
      </c>
      <c r="U219" s="19">
        <v>0</v>
      </c>
      <c r="V219" s="19"/>
      <c r="W219" s="2"/>
      <c r="X219" s="19"/>
      <c r="Y219" s="19">
        <v>240</v>
      </c>
      <c r="Z219" s="80"/>
      <c r="AN219" s="328" t="s">
        <v>112</v>
      </c>
      <c r="AO219" s="220">
        <f>SLOPE(AO215:AS215,AO214:AS214)</f>
        <v>0.53846153846153844</v>
      </c>
      <c r="AP219" s="220">
        <f>SLOPE(AS215:AT215,AS214:AT214)</f>
        <v>0.4285714285714286</v>
      </c>
      <c r="AQ219" s="220"/>
    </row>
    <row r="220" spans="1:46" ht="14.65" thickBot="1" x14ac:dyDescent="0.5">
      <c r="T220" s="7" t="s">
        <v>10</v>
      </c>
      <c r="U220" s="247">
        <v>0</v>
      </c>
      <c r="V220" s="247">
        <v>0.28999999999999998</v>
      </c>
      <c r="W220" s="247">
        <v>0.3</v>
      </c>
      <c r="X220" s="247">
        <v>0.69</v>
      </c>
      <c r="Y220" s="247">
        <v>0.7</v>
      </c>
      <c r="Z220" s="248">
        <v>1</v>
      </c>
      <c r="AN220" s="328" t="s">
        <v>113</v>
      </c>
      <c r="AO220" s="220">
        <f>INTERCEPT(AO215:AS215,AO214:AS214)</f>
        <v>0.53846153846153844</v>
      </c>
      <c r="AP220" s="220">
        <f>INTERCEPT(AS215:AT215,AS214:AT214)</f>
        <v>0.5714285714285714</v>
      </c>
      <c r="AQ220" s="220"/>
    </row>
    <row r="221" spans="1:46" x14ac:dyDescent="0.45">
      <c r="S221" s="174"/>
      <c r="T221" s="230"/>
      <c r="U221" s="1"/>
      <c r="V221" s="13"/>
      <c r="W221" s="17"/>
      <c r="X221" s="17"/>
      <c r="Y221" s="17"/>
      <c r="Z221" s="17"/>
      <c r="AO221" s="9"/>
      <c r="AP221" s="12"/>
    </row>
    <row r="222" spans="1:46" x14ac:dyDescent="0.45">
      <c r="T222" s="51" t="s">
        <v>126</v>
      </c>
      <c r="AB222" s="14"/>
      <c r="AO222" s="9"/>
    </row>
    <row r="223" spans="1:46" x14ac:dyDescent="0.45">
      <c r="T223" s="9"/>
      <c r="U223" s="592" t="s">
        <v>338</v>
      </c>
      <c r="V223" s="592"/>
      <c r="W223" s="592" t="s">
        <v>342</v>
      </c>
      <c r="X223" s="592"/>
      <c r="Y223" s="592" t="s">
        <v>343</v>
      </c>
      <c r="Z223" s="592"/>
      <c r="AA223" s="52" t="s">
        <v>344</v>
      </c>
      <c r="AB223" s="52"/>
    </row>
    <row r="224" spans="1:46" x14ac:dyDescent="0.45">
      <c r="U224" s="129" t="s">
        <v>116</v>
      </c>
      <c r="V224" s="129" t="s">
        <v>89</v>
      </c>
      <c r="W224" s="129" t="s">
        <v>116</v>
      </c>
      <c r="X224" s="129" t="s">
        <v>89</v>
      </c>
      <c r="Y224" s="129" t="s">
        <v>116</v>
      </c>
      <c r="Z224" s="129" t="s">
        <v>89</v>
      </c>
      <c r="AA224" s="254"/>
    </row>
    <row r="225" spans="20:35" x14ac:dyDescent="0.45">
      <c r="T225" s="90" t="s">
        <v>112</v>
      </c>
      <c r="U225" s="9">
        <v>1.17E-2</v>
      </c>
      <c r="V225" s="9">
        <v>1.2999999999999999E-3</v>
      </c>
      <c r="W225" s="9">
        <v>5.7999999999999996E-3</v>
      </c>
      <c r="X225" s="1">
        <v>1.6999999999999999E-3</v>
      </c>
      <c r="Y225" s="1">
        <v>3.8999999999999998E-3</v>
      </c>
      <c r="Z225" s="1">
        <v>2.5000000000000001E-3</v>
      </c>
      <c r="AA225" s="1">
        <v>2.8999999999999998E-3</v>
      </c>
      <c r="AB225" s="1"/>
    </row>
    <row r="226" spans="20:35" x14ac:dyDescent="0.45">
      <c r="T226" s="90" t="s">
        <v>113</v>
      </c>
      <c r="U226" s="9">
        <v>0</v>
      </c>
      <c r="V226" s="9">
        <v>0.625</v>
      </c>
      <c r="W226" s="9">
        <v>0</v>
      </c>
      <c r="X226" s="1">
        <v>0.5</v>
      </c>
      <c r="Y226" s="1">
        <f>1*10^(-16)</f>
        <v>9.9999999999999998E-17</v>
      </c>
      <c r="Z226" s="1">
        <v>0.25</v>
      </c>
      <c r="AA226" s="1">
        <v>0</v>
      </c>
      <c r="AB226" s="1"/>
    </row>
    <row r="227" spans="20:35" x14ac:dyDescent="0.45">
      <c r="T227" s="90"/>
      <c r="U227" s="9"/>
      <c r="V227" s="9"/>
    </row>
    <row r="234" spans="20:35" x14ac:dyDescent="0.45">
      <c r="AH234" s="17"/>
      <c r="AI234" s="17"/>
    </row>
    <row r="235" spans="20:35" x14ac:dyDescent="0.45">
      <c r="AH235" s="19"/>
      <c r="AI235" s="19"/>
    </row>
    <row r="236" spans="20:35" x14ac:dyDescent="0.45">
      <c r="AH236" s="17"/>
      <c r="AI236" s="17"/>
    </row>
    <row r="237" spans="20:35" x14ac:dyDescent="0.45">
      <c r="AH237" s="17"/>
      <c r="AI237" s="17"/>
    </row>
    <row r="252" spans="19:26" ht="14.65" thickBot="1" x14ac:dyDescent="0.5">
      <c r="T252" s="9" t="s">
        <v>279</v>
      </c>
      <c r="U252" s="9"/>
      <c r="V252" s="9"/>
      <c r="W252" s="9"/>
      <c r="X252" s="9"/>
    </row>
    <row r="253" spans="19:26" ht="45" customHeight="1" x14ac:dyDescent="0.45">
      <c r="S253" s="590" t="s">
        <v>207</v>
      </c>
      <c r="T253" s="4" t="s">
        <v>338</v>
      </c>
      <c r="U253" s="16">
        <v>0</v>
      </c>
      <c r="V253" s="16"/>
      <c r="W253" s="16"/>
      <c r="X253" s="16"/>
      <c r="Y253" s="16">
        <v>150</v>
      </c>
      <c r="Z253" s="75">
        <v>300</v>
      </c>
    </row>
    <row r="254" spans="19:26" ht="28.5" x14ac:dyDescent="0.45">
      <c r="S254" s="590"/>
      <c r="T254" s="74" t="s">
        <v>339</v>
      </c>
      <c r="U254" s="2">
        <v>0</v>
      </c>
      <c r="V254" s="2"/>
      <c r="W254" s="2"/>
      <c r="X254" s="2"/>
      <c r="Y254" s="39">
        <v>150</v>
      </c>
      <c r="Z254" s="80">
        <v>300</v>
      </c>
    </row>
    <row r="255" spans="19:26" ht="28.5" x14ac:dyDescent="0.45">
      <c r="S255" s="590"/>
      <c r="T255" s="74" t="s">
        <v>340</v>
      </c>
      <c r="U255" s="2">
        <v>0</v>
      </c>
      <c r="V255" s="2"/>
      <c r="W255" s="2"/>
      <c r="X255" s="2"/>
      <c r="Y255" s="9">
        <v>225</v>
      </c>
      <c r="Z255" s="80"/>
    </row>
    <row r="256" spans="19:26" ht="28.5" x14ac:dyDescent="0.45">
      <c r="S256" s="590"/>
      <c r="T256" s="74" t="s">
        <v>341</v>
      </c>
      <c r="U256" s="2">
        <v>0</v>
      </c>
      <c r="V256" s="2"/>
      <c r="W256" s="2"/>
      <c r="X256" s="2"/>
      <c r="Y256" s="2">
        <v>300</v>
      </c>
      <c r="Z256" s="80"/>
    </row>
    <row r="257" spans="19:28" ht="14.65" thickBot="1" x14ac:dyDescent="0.5">
      <c r="T257" s="7" t="s">
        <v>10</v>
      </c>
      <c r="U257" s="247">
        <v>0</v>
      </c>
      <c r="V257" s="247">
        <v>0.28999999999999998</v>
      </c>
      <c r="W257" s="247">
        <v>0.3</v>
      </c>
      <c r="X257" s="247">
        <v>0.69</v>
      </c>
      <c r="Y257" s="247">
        <v>0.7</v>
      </c>
      <c r="Z257" s="248">
        <v>1</v>
      </c>
    </row>
    <row r="258" spans="19:28" x14ac:dyDescent="0.45">
      <c r="S258" s="174"/>
      <c r="T258" s="230"/>
      <c r="U258" s="1"/>
      <c r="V258" s="1"/>
      <c r="W258" s="17"/>
      <c r="X258" s="17"/>
      <c r="Y258" s="17"/>
      <c r="Z258" s="17"/>
    </row>
    <row r="259" spans="19:28" x14ac:dyDescent="0.45">
      <c r="T259" s="51" t="s">
        <v>126</v>
      </c>
      <c r="U259" s="14"/>
      <c r="V259" s="14"/>
      <c r="W259" s="67"/>
      <c r="X259" s="14"/>
      <c r="Y259" s="67"/>
      <c r="Z259" s="14"/>
      <c r="AA259" s="14"/>
      <c r="AB259" s="14"/>
    </row>
    <row r="260" spans="19:28" ht="28.5" x14ac:dyDescent="0.45">
      <c r="T260" s="9"/>
      <c r="U260" s="593" t="s">
        <v>345</v>
      </c>
      <c r="V260" s="593"/>
      <c r="W260" s="255" t="s">
        <v>340</v>
      </c>
      <c r="X260" s="255" t="s">
        <v>341</v>
      </c>
      <c r="Z260" s="230"/>
      <c r="AA260" s="14"/>
      <c r="AB260" s="14"/>
    </row>
    <row r="261" spans="19:28" x14ac:dyDescent="0.45">
      <c r="U261" s="129" t="s">
        <v>116</v>
      </c>
      <c r="V261" s="129" t="s">
        <v>89</v>
      </c>
      <c r="W261" s="129"/>
      <c r="X261" s="129"/>
      <c r="Y261" s="129"/>
      <c r="Z261" s="129"/>
      <c r="AA261" s="230"/>
    </row>
    <row r="262" spans="19:28" x14ac:dyDescent="0.45">
      <c r="T262" s="129" t="s">
        <v>112</v>
      </c>
      <c r="U262" s="9">
        <v>4.7000000000000002E-3</v>
      </c>
      <c r="V262" s="220">
        <v>2E-3</v>
      </c>
      <c r="W262" s="1">
        <v>3.0999999999999999E-3</v>
      </c>
      <c r="X262" s="1">
        <v>2.3E-3</v>
      </c>
      <c r="Y262" s="9"/>
      <c r="Z262" s="9"/>
      <c r="AA262" s="1"/>
      <c r="AB262" s="1"/>
    </row>
    <row r="263" spans="19:28" x14ac:dyDescent="0.45">
      <c r="T263" s="129" t="s">
        <v>113</v>
      </c>
      <c r="U263" s="9">
        <v>0</v>
      </c>
      <c r="V263" s="220">
        <v>0.4</v>
      </c>
      <c r="W263" s="1">
        <v>0</v>
      </c>
      <c r="X263" s="313">
        <v>-8.0000000000000006E-17</v>
      </c>
      <c r="Y263" s="9"/>
      <c r="Z263" s="9"/>
      <c r="AA263" s="1"/>
      <c r="AB263" s="1"/>
    </row>
    <row r="274" spans="33:34" x14ac:dyDescent="0.45">
      <c r="AG274" s="17"/>
      <c r="AH274" s="17"/>
    </row>
    <row r="275" spans="33:34" x14ac:dyDescent="0.45">
      <c r="AG275" s="17"/>
      <c r="AH275" s="17"/>
    </row>
    <row r="276" spans="33:34" x14ac:dyDescent="0.45">
      <c r="AG276" s="17"/>
      <c r="AH276" s="17"/>
    </row>
    <row r="277" spans="33:34" x14ac:dyDescent="0.45">
      <c r="AG277" s="19"/>
      <c r="AH277" s="17"/>
    </row>
    <row r="278" spans="33:34" x14ac:dyDescent="0.45">
      <c r="AG278" s="17"/>
      <c r="AH278" s="17"/>
    </row>
    <row r="279" spans="33:34" x14ac:dyDescent="0.45">
      <c r="AG279" s="17"/>
      <c r="AH279" s="17"/>
    </row>
    <row r="280" spans="33:34" x14ac:dyDescent="0.45">
      <c r="AG280" s="17"/>
      <c r="AH280" s="17"/>
    </row>
    <row r="281" spans="33:34" x14ac:dyDescent="0.45">
      <c r="AG281" s="17"/>
      <c r="AH281" s="17"/>
    </row>
    <row r="289" spans="19:26" ht="30" customHeight="1" thickBot="1" x14ac:dyDescent="0.5">
      <c r="T289" s="9" t="s">
        <v>280</v>
      </c>
      <c r="U289" s="9"/>
      <c r="V289" s="9"/>
      <c r="W289" s="9"/>
    </row>
    <row r="290" spans="19:26" ht="28.5" x14ac:dyDescent="0.45">
      <c r="S290" s="591" t="s">
        <v>207</v>
      </c>
      <c r="T290" s="4" t="s">
        <v>338</v>
      </c>
      <c r="U290" s="5">
        <v>0</v>
      </c>
      <c r="V290" s="5"/>
      <c r="W290" s="16"/>
      <c r="X290" s="5"/>
      <c r="Y290" s="5">
        <v>150</v>
      </c>
      <c r="Z290" s="75">
        <v>300</v>
      </c>
    </row>
    <row r="291" spans="19:26" ht="28.5" x14ac:dyDescent="0.45">
      <c r="S291" s="591"/>
      <c r="T291" s="74" t="s">
        <v>339</v>
      </c>
      <c r="U291" s="19">
        <v>0</v>
      </c>
      <c r="V291" s="19"/>
      <c r="W291" s="2"/>
      <c r="X291" s="19"/>
      <c r="Y291" s="10">
        <v>250</v>
      </c>
      <c r="Z291" s="80"/>
    </row>
    <row r="292" spans="19:26" ht="28.5" x14ac:dyDescent="0.45">
      <c r="S292" s="591"/>
      <c r="T292" s="74" t="s">
        <v>340</v>
      </c>
      <c r="U292" s="19">
        <v>0</v>
      </c>
      <c r="V292" s="19"/>
      <c r="W292" s="2"/>
      <c r="X292" s="19"/>
      <c r="Y292" s="10">
        <v>350</v>
      </c>
      <c r="Z292" s="80"/>
    </row>
    <row r="293" spans="19:26" ht="14.65" thickBot="1" x14ac:dyDescent="0.5">
      <c r="T293" s="7" t="s">
        <v>10</v>
      </c>
      <c r="U293" s="247">
        <v>0</v>
      </c>
      <c r="V293" s="247">
        <v>0.28999999999999998</v>
      </c>
      <c r="W293" s="247">
        <v>0.3</v>
      </c>
      <c r="X293" s="247">
        <v>0.69</v>
      </c>
      <c r="Y293" s="247">
        <v>0.7</v>
      </c>
      <c r="Z293" s="248">
        <v>1</v>
      </c>
    </row>
    <row r="294" spans="19:26" x14ac:dyDescent="0.45">
      <c r="S294" s="174"/>
      <c r="T294" s="230"/>
      <c r="U294" s="1"/>
      <c r="V294" s="1"/>
      <c r="W294" s="17"/>
      <c r="X294" s="17"/>
      <c r="Y294" s="17"/>
      <c r="Z294" s="17"/>
    </row>
    <row r="295" spans="19:26" x14ac:dyDescent="0.45">
      <c r="T295" s="51" t="s">
        <v>126</v>
      </c>
      <c r="Z295" s="14"/>
    </row>
    <row r="296" spans="19:26" ht="28.5" x14ac:dyDescent="0.45">
      <c r="T296" s="9"/>
      <c r="U296" s="592" t="s">
        <v>338</v>
      </c>
      <c r="V296" s="592"/>
      <c r="W296" s="254" t="s">
        <v>342</v>
      </c>
      <c r="X296" s="256" t="s">
        <v>343</v>
      </c>
      <c r="Y296" s="129"/>
      <c r="Z296" s="129"/>
    </row>
    <row r="297" spans="19:26" x14ac:dyDescent="0.45">
      <c r="U297" s="201" t="s">
        <v>116</v>
      </c>
      <c r="V297" s="129" t="s">
        <v>89</v>
      </c>
      <c r="W297" s="129"/>
      <c r="X297" s="129"/>
      <c r="Y297" s="9"/>
      <c r="Z297" s="9"/>
    </row>
    <row r="298" spans="19:26" x14ac:dyDescent="0.45">
      <c r="T298" s="129" t="s">
        <v>112</v>
      </c>
      <c r="U298" s="9">
        <v>4.7000000000000002E-3</v>
      </c>
      <c r="V298" s="220">
        <v>2E-3</v>
      </c>
      <c r="W298" s="9">
        <v>2.8E-3</v>
      </c>
      <c r="X298" s="1">
        <v>2E-3</v>
      </c>
      <c r="Y298" s="1"/>
      <c r="Z298" s="1"/>
    </row>
    <row r="299" spans="19:26" x14ac:dyDescent="0.45">
      <c r="T299" s="129" t="s">
        <v>113</v>
      </c>
      <c r="U299" s="9">
        <v>0</v>
      </c>
      <c r="V299" s="220">
        <v>0.4</v>
      </c>
      <c r="W299" s="9">
        <v>0</v>
      </c>
      <c r="X299" s="1">
        <f>1*10^(-16)</f>
        <v>9.9999999999999998E-17</v>
      </c>
      <c r="Y299" s="1"/>
      <c r="Z299" s="1"/>
    </row>
    <row r="324" spans="20:26" ht="14.65" thickBot="1" x14ac:dyDescent="0.5">
      <c r="T324" s="9" t="s">
        <v>176</v>
      </c>
      <c r="U324" s="9"/>
      <c r="V324" s="9"/>
      <c r="W324" s="9"/>
      <c r="X324" s="9"/>
      <c r="Y324" s="9"/>
      <c r="Z324" s="9"/>
    </row>
    <row r="325" spans="20:26" x14ac:dyDescent="0.45">
      <c r="T325" s="4" t="s">
        <v>9</v>
      </c>
      <c r="U325" s="45">
        <v>0</v>
      </c>
      <c r="V325" s="45"/>
      <c r="W325" s="45"/>
      <c r="X325" s="45"/>
      <c r="Y325" s="45"/>
      <c r="Z325" s="156">
        <v>9.3000000000000007</v>
      </c>
    </row>
    <row r="326" spans="20:26" ht="14.65" thickBot="1" x14ac:dyDescent="0.5">
      <c r="T326" s="7" t="s">
        <v>10</v>
      </c>
      <c r="U326" s="247">
        <v>0</v>
      </c>
      <c r="V326" s="247">
        <v>0.28999999999999998</v>
      </c>
      <c r="W326" s="247">
        <v>0.3</v>
      </c>
      <c r="X326" s="247">
        <v>0.69</v>
      </c>
      <c r="Y326" s="247">
        <v>0.7</v>
      </c>
      <c r="Z326" s="248">
        <v>1</v>
      </c>
    </row>
    <row r="328" spans="20:26" x14ac:dyDescent="0.45">
      <c r="T328" s="51" t="s">
        <v>126</v>
      </c>
      <c r="V328" s="55"/>
      <c r="W328" s="55"/>
      <c r="X328" s="55"/>
      <c r="Y328" s="55"/>
      <c r="Z328" s="55"/>
    </row>
    <row r="329" spans="20:26" x14ac:dyDescent="0.45">
      <c r="T329" s="59" t="s">
        <v>112</v>
      </c>
      <c r="U329" s="55">
        <v>0.1075</v>
      </c>
      <c r="V329" s="55"/>
      <c r="W329" s="55"/>
      <c r="X329" s="55"/>
      <c r="Y329" s="55"/>
      <c r="Z329" s="55"/>
    </row>
    <row r="330" spans="20:26" x14ac:dyDescent="0.45">
      <c r="T330" s="59" t="s">
        <v>113</v>
      </c>
      <c r="U330" s="55">
        <v>0</v>
      </c>
      <c r="V330" s="55"/>
      <c r="W330" s="55"/>
      <c r="X330" s="55"/>
      <c r="Y330" s="55"/>
      <c r="Z330" s="55"/>
    </row>
    <row r="331" spans="20:26" x14ac:dyDescent="0.45">
      <c r="T331" s="56"/>
      <c r="U331" s="55"/>
      <c r="V331" s="55"/>
      <c r="W331" s="55"/>
      <c r="X331" s="57"/>
      <c r="Y331" s="55"/>
      <c r="Z331" s="55"/>
    </row>
    <row r="332" spans="20:26" x14ac:dyDescent="0.45">
      <c r="T332" s="55"/>
      <c r="U332" s="55"/>
      <c r="V332" s="58"/>
      <c r="W332" s="55"/>
      <c r="X332" s="55"/>
      <c r="Y332" s="55"/>
      <c r="Z332" s="58"/>
    </row>
    <row r="333" spans="20:26" x14ac:dyDescent="0.45">
      <c r="T333" s="55"/>
      <c r="U333" s="55"/>
      <c r="V333" s="58"/>
      <c r="W333" s="55"/>
      <c r="X333" s="55"/>
      <c r="Y333" s="55"/>
      <c r="Z333" s="58"/>
    </row>
    <row r="356" spans="20:41" ht="14.65" thickBot="1" x14ac:dyDescent="0.5">
      <c r="T356" s="10" t="s">
        <v>177</v>
      </c>
    </row>
    <row r="357" spans="20:41" x14ac:dyDescent="0.45">
      <c r="T357" s="587" t="s">
        <v>9</v>
      </c>
      <c r="U357" s="5">
        <v>0</v>
      </c>
      <c r="V357" s="5"/>
      <c r="W357" s="5"/>
      <c r="X357" s="5"/>
      <c r="Y357" s="5"/>
      <c r="Z357" s="6">
        <v>135</v>
      </c>
    </row>
    <row r="358" spans="20:41" x14ac:dyDescent="0.45">
      <c r="T358" s="588"/>
      <c r="U358" s="17"/>
      <c r="V358" s="17"/>
      <c r="W358" s="17"/>
      <c r="X358" s="17">
        <v>366</v>
      </c>
      <c r="Y358" s="17"/>
      <c r="Z358" s="87">
        <v>262</v>
      </c>
    </row>
    <row r="359" spans="20:41" ht="14.65" thickBot="1" x14ac:dyDescent="0.5">
      <c r="T359" s="7" t="s">
        <v>10</v>
      </c>
      <c r="U359" s="247">
        <v>0</v>
      </c>
      <c r="V359" s="247">
        <v>0.28999999999999998</v>
      </c>
      <c r="W359" s="247">
        <v>0.3</v>
      </c>
      <c r="X359" s="247">
        <v>0.5</v>
      </c>
      <c r="Y359" s="247">
        <v>0.7</v>
      </c>
      <c r="Z359" s="248">
        <v>1</v>
      </c>
    </row>
    <row r="361" spans="20:41" x14ac:dyDescent="0.45">
      <c r="T361" s="99" t="s">
        <v>147</v>
      </c>
      <c r="V361" s="9"/>
    </row>
    <row r="362" spans="20:41" x14ac:dyDescent="0.45">
      <c r="T362" s="73" t="s">
        <v>112</v>
      </c>
      <c r="U362" s="9">
        <v>7.4070000000000004E-3</v>
      </c>
      <c r="V362" s="9">
        <v>-4.7999999999999996E-3</v>
      </c>
    </row>
    <row r="363" spans="20:41" x14ac:dyDescent="0.45">
      <c r="T363" s="73" t="s">
        <v>113</v>
      </c>
      <c r="U363" s="9">
        <f>0</f>
        <v>0</v>
      </c>
      <c r="V363" s="9">
        <v>2.2595999999999998</v>
      </c>
    </row>
    <row r="364" spans="20:41" x14ac:dyDescent="0.45">
      <c r="T364" s="9"/>
      <c r="U364" s="9"/>
      <c r="V364" s="39"/>
    </row>
    <row r="365" spans="20:41" x14ac:dyDescent="0.45">
      <c r="T365" s="9"/>
      <c r="U365" s="9"/>
      <c r="V365" s="9"/>
    </row>
    <row r="367" spans="20:41" x14ac:dyDescent="0.45">
      <c r="AN367" s="17"/>
      <c r="AO367" s="17"/>
    </row>
    <row r="368" spans="20:41" x14ac:dyDescent="0.45">
      <c r="AN368" s="19"/>
      <c r="AO368" s="17"/>
    </row>
    <row r="369" spans="40:41" x14ac:dyDescent="0.45">
      <c r="AN369" s="17"/>
      <c r="AO369" s="17"/>
    </row>
    <row r="370" spans="40:41" x14ac:dyDescent="0.45">
      <c r="AN370" s="17"/>
      <c r="AO370" s="17"/>
    </row>
    <row r="392" spans="20:26" ht="14.65" thickBot="1" x14ac:dyDescent="0.5">
      <c r="T392" s="10" t="s">
        <v>190</v>
      </c>
    </row>
    <row r="393" spans="20:26" x14ac:dyDescent="0.45">
      <c r="T393" s="4" t="s">
        <v>9</v>
      </c>
      <c r="U393" s="5">
        <v>0</v>
      </c>
      <c r="V393" s="5"/>
      <c r="W393" s="5"/>
      <c r="X393" s="5"/>
      <c r="Y393" s="5"/>
      <c r="Z393" s="6">
        <v>566</v>
      </c>
    </row>
    <row r="394" spans="20:26" ht="14.65" thickBot="1" x14ac:dyDescent="0.5">
      <c r="T394" s="7" t="s">
        <v>335</v>
      </c>
      <c r="U394" s="247">
        <v>0</v>
      </c>
      <c r="V394" s="247">
        <v>0.28999999999999998</v>
      </c>
      <c r="W394" s="247">
        <v>0.3</v>
      </c>
      <c r="X394" s="247">
        <v>0.69</v>
      </c>
      <c r="Y394" s="247">
        <v>0.7</v>
      </c>
      <c r="Z394" s="248">
        <v>1</v>
      </c>
    </row>
    <row r="396" spans="20:26" x14ac:dyDescent="0.45">
      <c r="T396" s="99" t="s">
        <v>147</v>
      </c>
      <c r="V396" s="9"/>
    </row>
    <row r="397" spans="20:26" x14ac:dyDescent="0.45">
      <c r="T397" s="73" t="s">
        <v>112</v>
      </c>
      <c r="U397" s="9">
        <v>1.7669999999999999E-3</v>
      </c>
      <c r="V397" s="9"/>
    </row>
    <row r="398" spans="20:26" x14ac:dyDescent="0.45">
      <c r="T398" s="73" t="s">
        <v>113</v>
      </c>
      <c r="U398" s="9">
        <f>0</f>
        <v>0</v>
      </c>
      <c r="V398" s="9"/>
    </row>
    <row r="399" spans="20:26" x14ac:dyDescent="0.45">
      <c r="T399" s="9"/>
      <c r="U399" s="9"/>
      <c r="V399" s="39"/>
    </row>
    <row r="400" spans="20:26" x14ac:dyDescent="0.45">
      <c r="T400" s="9"/>
      <c r="U400" s="9"/>
      <c r="V400" s="9"/>
    </row>
    <row r="422" spans="11:26" x14ac:dyDescent="0.45">
      <c r="K422" s="1"/>
    </row>
    <row r="423" spans="11:26" x14ac:dyDescent="0.45">
      <c r="K423" s="1"/>
    </row>
    <row r="424" spans="11:26" x14ac:dyDescent="0.45">
      <c r="K424" s="1"/>
    </row>
    <row r="425" spans="11:26" x14ac:dyDescent="0.45">
      <c r="K425" s="1"/>
    </row>
    <row r="426" spans="11:26" x14ac:dyDescent="0.45">
      <c r="K426" s="1"/>
    </row>
    <row r="427" spans="11:26" ht="14.65" thickBot="1" x14ac:dyDescent="0.5">
      <c r="K427" s="1"/>
      <c r="T427" s="10" t="s">
        <v>189</v>
      </c>
    </row>
    <row r="428" spans="11:26" x14ac:dyDescent="0.45">
      <c r="K428" s="1"/>
      <c r="T428" s="4" t="s">
        <v>9</v>
      </c>
      <c r="U428" s="5">
        <v>0</v>
      </c>
      <c r="V428" s="5"/>
      <c r="W428" s="5"/>
      <c r="X428" s="5"/>
      <c r="Y428" s="5"/>
      <c r="Z428" s="6">
        <v>75</v>
      </c>
    </row>
    <row r="429" spans="11:26" ht="14.65" thickBot="1" x14ac:dyDescent="0.5">
      <c r="K429" s="1"/>
      <c r="T429" s="7" t="s">
        <v>10</v>
      </c>
      <c r="U429" s="247">
        <v>0</v>
      </c>
      <c r="V429" s="247">
        <v>0.28999999999999998</v>
      </c>
      <c r="W429" s="247">
        <v>0.3</v>
      </c>
      <c r="X429" s="247">
        <v>0.69</v>
      </c>
      <c r="Y429" s="247">
        <v>0.7</v>
      </c>
      <c r="Z429" s="248">
        <v>1</v>
      </c>
    </row>
    <row r="430" spans="11:26" x14ac:dyDescent="0.45">
      <c r="K430" s="1"/>
    </row>
    <row r="431" spans="11:26" x14ac:dyDescent="0.45">
      <c r="K431" s="1"/>
      <c r="T431" s="99" t="s">
        <v>147</v>
      </c>
      <c r="V431" s="9"/>
    </row>
    <row r="432" spans="11:26" x14ac:dyDescent="0.45">
      <c r="K432" s="1"/>
      <c r="T432" s="73" t="s">
        <v>112</v>
      </c>
      <c r="U432" s="9">
        <v>1.3332999999999999E-2</v>
      </c>
      <c r="V432" s="9"/>
    </row>
    <row r="433" spans="11:22" x14ac:dyDescent="0.45">
      <c r="K433" s="1"/>
      <c r="T433" s="73" t="s">
        <v>113</v>
      </c>
      <c r="U433" s="9">
        <f>0</f>
        <v>0</v>
      </c>
      <c r="V433" s="9"/>
    </row>
    <row r="434" spans="11:22" x14ac:dyDescent="0.45">
      <c r="K434" s="1"/>
      <c r="T434" s="9"/>
      <c r="U434" s="9"/>
      <c r="V434" s="39"/>
    </row>
    <row r="435" spans="11:22" x14ac:dyDescent="0.45">
      <c r="K435" s="1"/>
      <c r="T435" s="9"/>
      <c r="U435" s="9"/>
      <c r="V435" s="9"/>
    </row>
    <row r="436" spans="11:22" x14ac:dyDescent="0.45">
      <c r="K436" s="1"/>
    </row>
    <row r="437" spans="11:22" x14ac:dyDescent="0.45">
      <c r="K437" s="1"/>
    </row>
    <row r="461" spans="19:26" x14ac:dyDescent="0.45">
      <c r="S461" s="17"/>
      <c r="T461" s="9"/>
    </row>
    <row r="462" spans="19:26" ht="14.65" thickBot="1" x14ac:dyDescent="0.5">
      <c r="S462" s="17"/>
      <c r="T462" s="10" t="s">
        <v>331</v>
      </c>
    </row>
    <row r="463" spans="19:26" x14ac:dyDescent="0.45">
      <c r="S463" s="17"/>
      <c r="T463" s="4" t="s">
        <v>9</v>
      </c>
      <c r="U463" s="5">
        <v>100</v>
      </c>
      <c r="V463" s="5"/>
      <c r="W463" s="5"/>
      <c r="X463" s="5"/>
      <c r="Y463" s="5"/>
      <c r="Z463" s="6">
        <v>0</v>
      </c>
    </row>
    <row r="464" spans="19:26" ht="14.65" thickBot="1" x14ac:dyDescent="0.5">
      <c r="S464" s="17"/>
      <c r="T464" s="7" t="s">
        <v>10</v>
      </c>
      <c r="U464" s="247">
        <v>0</v>
      </c>
      <c r="V464" s="247">
        <v>0.28999999999999998</v>
      </c>
      <c r="W464" s="247">
        <v>0.3</v>
      </c>
      <c r="X464" s="247">
        <v>0.69</v>
      </c>
      <c r="Y464" s="247">
        <v>0.7</v>
      </c>
      <c r="Z464" s="248">
        <v>1</v>
      </c>
    </row>
    <row r="465" spans="11:22" x14ac:dyDescent="0.45">
      <c r="S465" s="17"/>
    </row>
    <row r="466" spans="11:22" x14ac:dyDescent="0.45">
      <c r="S466" s="17"/>
      <c r="T466" s="99" t="s">
        <v>147</v>
      </c>
      <c r="V466" s="9"/>
    </row>
    <row r="467" spans="11:22" x14ac:dyDescent="0.45">
      <c r="S467" s="17"/>
      <c r="T467" s="73" t="s">
        <v>112</v>
      </c>
      <c r="U467" s="9">
        <v>-0.01</v>
      </c>
      <c r="V467" s="9"/>
    </row>
    <row r="468" spans="11:22" x14ac:dyDescent="0.45">
      <c r="S468" s="17"/>
      <c r="T468" s="73" t="s">
        <v>113</v>
      </c>
      <c r="U468" s="9">
        <v>1</v>
      </c>
      <c r="V468" s="9"/>
    </row>
    <row r="469" spans="11:22" x14ac:dyDescent="0.45">
      <c r="S469" s="17"/>
      <c r="T469" s="9"/>
    </row>
    <row r="470" spans="11:22" x14ac:dyDescent="0.45">
      <c r="S470" s="17"/>
      <c r="T470" s="9"/>
    </row>
    <row r="471" spans="11:22" x14ac:dyDescent="0.45">
      <c r="S471" s="17"/>
      <c r="T471" s="9"/>
    </row>
    <row r="472" spans="11:22" x14ac:dyDescent="0.45">
      <c r="S472" s="17"/>
      <c r="T472" s="9"/>
    </row>
    <row r="473" spans="11:22" x14ac:dyDescent="0.45">
      <c r="S473" s="17"/>
      <c r="T473" s="9"/>
    </row>
    <row r="474" spans="11:22" x14ac:dyDescent="0.45">
      <c r="K474" s="1"/>
      <c r="S474" s="17"/>
      <c r="T474" s="9"/>
    </row>
    <row r="475" spans="11:22" x14ac:dyDescent="0.45">
      <c r="K475" s="1"/>
      <c r="S475" s="17"/>
      <c r="T475" s="9"/>
    </row>
    <row r="476" spans="11:22" x14ac:dyDescent="0.45">
      <c r="K476" s="1"/>
      <c r="S476" s="17"/>
      <c r="T476" s="9"/>
    </row>
    <row r="477" spans="11:22" x14ac:dyDescent="0.45">
      <c r="K477" s="1"/>
      <c r="S477" s="17"/>
      <c r="T477" s="9"/>
    </row>
    <row r="478" spans="11:22" x14ac:dyDescent="0.45">
      <c r="K478" s="1"/>
      <c r="S478" s="17"/>
      <c r="T478" s="9"/>
    </row>
    <row r="479" spans="11:22" x14ac:dyDescent="0.45">
      <c r="S479" s="17"/>
      <c r="T479" s="9"/>
    </row>
    <row r="480" spans="11:22" x14ac:dyDescent="0.45">
      <c r="S480" s="17"/>
      <c r="T480" s="9"/>
    </row>
    <row r="481" spans="19:20" x14ac:dyDescent="0.45">
      <c r="S481" s="17"/>
      <c r="T481" s="9"/>
    </row>
    <row r="482" spans="19:20" x14ac:dyDescent="0.45">
      <c r="S482" s="17"/>
      <c r="T482" s="9"/>
    </row>
    <row r="483" spans="19:20" x14ac:dyDescent="0.45">
      <c r="S483" s="17"/>
      <c r="T483" s="9"/>
    </row>
    <row r="484" spans="19:20" x14ac:dyDescent="0.45">
      <c r="S484" s="17"/>
      <c r="T484" s="9"/>
    </row>
    <row r="485" spans="19:20" x14ac:dyDescent="0.45">
      <c r="S485" s="17"/>
      <c r="T485" s="9"/>
    </row>
    <row r="486" spans="19:20" x14ac:dyDescent="0.45">
      <c r="S486" s="17"/>
      <c r="T486" s="9"/>
    </row>
    <row r="487" spans="19:20" x14ac:dyDescent="0.45">
      <c r="S487" s="17"/>
      <c r="T487" s="9"/>
    </row>
    <row r="488" spans="19:20" x14ac:dyDescent="0.45">
      <c r="S488" s="17"/>
      <c r="T488" s="9"/>
    </row>
    <row r="489" spans="19:20" x14ac:dyDescent="0.45">
      <c r="S489" s="17"/>
      <c r="T489" s="9"/>
    </row>
    <row r="490" spans="19:20" x14ac:dyDescent="0.45">
      <c r="S490" s="17"/>
      <c r="T490" s="9"/>
    </row>
    <row r="491" spans="19:20" x14ac:dyDescent="0.45">
      <c r="S491" s="17"/>
      <c r="T491" s="9"/>
    </row>
    <row r="492" spans="19:20" x14ac:dyDescent="0.45">
      <c r="S492" s="17"/>
      <c r="T492" s="9"/>
    </row>
    <row r="493" spans="19:20" x14ac:dyDescent="0.45">
      <c r="S493" s="17"/>
      <c r="T493" s="9"/>
    </row>
    <row r="494" spans="19:20" x14ac:dyDescent="0.45">
      <c r="S494" s="17"/>
      <c r="T494" s="9"/>
    </row>
    <row r="496" spans="19:20" ht="14.65" thickBot="1" x14ac:dyDescent="0.5">
      <c r="T496" s="10" t="s">
        <v>276</v>
      </c>
    </row>
    <row r="497" spans="11:38" x14ac:dyDescent="0.45">
      <c r="T497" s="4" t="s">
        <v>9</v>
      </c>
      <c r="U497" s="45">
        <v>6.5</v>
      </c>
      <c r="V497" s="45"/>
      <c r="W497" s="45"/>
      <c r="X497" s="45"/>
      <c r="Y497" s="45">
        <v>5</v>
      </c>
      <c r="Z497" s="156">
        <v>4</v>
      </c>
    </row>
    <row r="498" spans="11:38" ht="14.65" thickBot="1" x14ac:dyDescent="0.5">
      <c r="T498" s="7" t="s">
        <v>10</v>
      </c>
      <c r="U498" s="247">
        <v>0</v>
      </c>
      <c r="V498" s="247">
        <v>0.28999999999999998</v>
      </c>
      <c r="W498" s="247">
        <v>0.3</v>
      </c>
      <c r="X498" s="247">
        <v>0.69</v>
      </c>
      <c r="Y498" s="247">
        <v>0.7</v>
      </c>
      <c r="Z498" s="248">
        <v>1</v>
      </c>
    </row>
    <row r="499" spans="11:38" x14ac:dyDescent="0.45">
      <c r="K499" s="1"/>
      <c r="L499" s="1"/>
      <c r="M499" s="1"/>
      <c r="N499" s="1"/>
      <c r="O499" s="1"/>
      <c r="P499" s="1"/>
      <c r="Q499" s="1"/>
      <c r="R499" s="132"/>
      <c r="T499" s="19"/>
      <c r="U499" s="2"/>
      <c r="V499" s="2"/>
      <c r="W499" s="2"/>
      <c r="X499" s="2"/>
      <c r="Y499" s="2"/>
      <c r="Z499" s="2"/>
      <c r="AD499" s="1"/>
    </row>
    <row r="500" spans="11:38" x14ac:dyDescent="0.45">
      <c r="K500" s="1"/>
      <c r="L500" s="1"/>
      <c r="M500" s="1"/>
      <c r="N500" s="1"/>
      <c r="O500" s="1"/>
      <c r="P500" s="1"/>
      <c r="Q500" s="1"/>
      <c r="R500" s="132"/>
      <c r="T500" s="48" t="s">
        <v>126</v>
      </c>
      <c r="AD500" s="2"/>
    </row>
    <row r="501" spans="11:38" x14ac:dyDescent="0.45">
      <c r="K501" s="1"/>
      <c r="L501" s="1"/>
      <c r="M501" s="1"/>
      <c r="N501" s="1"/>
      <c r="O501" s="1"/>
      <c r="P501" s="1"/>
      <c r="Q501" s="1"/>
      <c r="R501" s="132"/>
      <c r="U501" s="10" t="s">
        <v>89</v>
      </c>
      <c r="V501" s="10" t="s">
        <v>275</v>
      </c>
    </row>
    <row r="502" spans="11:38" x14ac:dyDescent="0.45">
      <c r="K502" s="1"/>
      <c r="L502" s="1"/>
      <c r="M502" s="1"/>
      <c r="N502" s="1"/>
      <c r="O502" s="1"/>
      <c r="P502" s="1"/>
      <c r="Q502" s="1"/>
      <c r="R502" s="132"/>
      <c r="T502" s="8" t="s">
        <v>112</v>
      </c>
      <c r="U502" s="128">
        <v>-0.3</v>
      </c>
      <c r="V502" s="9">
        <v>-0.4667</v>
      </c>
    </row>
    <row r="503" spans="11:38" x14ac:dyDescent="0.45">
      <c r="K503" s="1"/>
      <c r="L503" s="1"/>
      <c r="M503" s="1"/>
      <c r="N503" s="1"/>
      <c r="O503" s="1"/>
      <c r="P503" s="1"/>
      <c r="Q503" s="1"/>
      <c r="R503" s="132"/>
      <c r="T503" s="8" t="s">
        <v>113</v>
      </c>
      <c r="U503" s="136">
        <v>2.2000000000000002</v>
      </c>
      <c r="V503" s="9">
        <v>3.0333000000000001</v>
      </c>
      <c r="AL503" s="132"/>
    </row>
    <row r="504" spans="11:38" x14ac:dyDescent="0.45">
      <c r="K504" s="1"/>
      <c r="L504" s="1"/>
      <c r="M504" s="1"/>
      <c r="N504" s="1"/>
      <c r="O504" s="1"/>
      <c r="P504" s="1"/>
      <c r="Q504" s="1"/>
      <c r="R504" s="132"/>
      <c r="T504" s="129"/>
      <c r="U504" s="128"/>
      <c r="V504" s="39"/>
      <c r="AL504" s="132"/>
    </row>
    <row r="505" spans="11:38" x14ac:dyDescent="0.45">
      <c r="K505" s="1"/>
      <c r="L505" s="1"/>
      <c r="M505" s="1"/>
      <c r="N505" s="1"/>
      <c r="O505" s="1"/>
      <c r="P505" s="1"/>
      <c r="Q505" s="1"/>
      <c r="R505" s="132"/>
      <c r="T505" s="9"/>
      <c r="U505" s="9"/>
      <c r="V505" s="9"/>
    </row>
    <row r="506" spans="11:38" x14ac:dyDescent="0.45">
      <c r="K506" s="1"/>
      <c r="L506" s="1"/>
      <c r="M506" s="1"/>
      <c r="N506" s="1"/>
      <c r="O506" s="1"/>
      <c r="P506" s="1"/>
      <c r="Q506" s="1"/>
      <c r="R506" s="132"/>
    </row>
    <row r="507" spans="11:38" x14ac:dyDescent="0.45">
      <c r="K507" s="1"/>
      <c r="L507" s="1"/>
      <c r="M507" s="1"/>
      <c r="N507" s="1"/>
      <c r="O507" s="1"/>
      <c r="P507" s="1"/>
      <c r="Q507" s="1"/>
      <c r="R507" s="132"/>
    </row>
    <row r="508" spans="11:38" x14ac:dyDescent="0.45">
      <c r="K508" s="1"/>
      <c r="L508" s="1"/>
      <c r="M508" s="1"/>
      <c r="N508" s="1"/>
      <c r="O508" s="1"/>
      <c r="P508" s="1"/>
      <c r="Q508" s="1"/>
      <c r="R508" s="132"/>
    </row>
    <row r="509" spans="11:38" x14ac:dyDescent="0.45">
      <c r="K509" s="1"/>
      <c r="L509" s="1"/>
      <c r="M509" s="1"/>
      <c r="N509" s="1"/>
      <c r="O509" s="1"/>
      <c r="P509" s="1"/>
      <c r="Q509" s="1"/>
      <c r="R509" s="132"/>
    </row>
    <row r="510" spans="11:38" x14ac:dyDescent="0.45">
      <c r="K510" s="1"/>
      <c r="L510" s="1"/>
      <c r="M510" s="1"/>
      <c r="N510" s="1"/>
      <c r="O510" s="1"/>
      <c r="P510" s="1"/>
      <c r="Q510" s="1"/>
      <c r="R510" s="132"/>
    </row>
    <row r="511" spans="11:38" x14ac:dyDescent="0.45">
      <c r="K511" s="1"/>
      <c r="L511" s="1"/>
      <c r="M511" s="1"/>
      <c r="N511" s="1"/>
      <c r="O511" s="1"/>
      <c r="P511" s="1"/>
      <c r="Q511" s="1"/>
      <c r="R511" s="132"/>
    </row>
    <row r="512" spans="11:38" x14ac:dyDescent="0.45">
      <c r="K512" s="1"/>
      <c r="L512" s="1"/>
      <c r="M512" s="1"/>
      <c r="N512" s="1"/>
      <c r="O512" s="1"/>
      <c r="P512" s="1"/>
      <c r="Q512" s="1"/>
      <c r="R512" s="132"/>
    </row>
    <row r="513" spans="11:29" x14ac:dyDescent="0.45">
      <c r="K513" s="1"/>
      <c r="L513" s="1"/>
      <c r="M513" s="1"/>
      <c r="N513" s="1"/>
      <c r="O513" s="1"/>
      <c r="P513" s="1"/>
      <c r="Q513" s="1"/>
      <c r="R513" s="132"/>
      <c r="AA513" s="1"/>
      <c r="AB513" s="1"/>
      <c r="AC513" s="132"/>
    </row>
    <row r="514" spans="11:29" x14ac:dyDescent="0.45">
      <c r="K514" s="1"/>
      <c r="L514" s="1"/>
      <c r="M514" s="1"/>
      <c r="N514" s="1"/>
      <c r="O514" s="1"/>
      <c r="P514" s="1"/>
      <c r="Q514" s="1"/>
      <c r="R514" s="132"/>
      <c r="AA514" s="2"/>
      <c r="AB514" s="2"/>
      <c r="AC514" s="131"/>
    </row>
    <row r="515" spans="11:29" x14ac:dyDescent="0.45">
      <c r="K515" s="1"/>
      <c r="L515" s="1"/>
      <c r="M515" s="1"/>
      <c r="N515" s="1"/>
      <c r="O515" s="1"/>
      <c r="P515" s="1"/>
      <c r="Q515" s="1"/>
      <c r="R515" s="132"/>
    </row>
    <row r="516" spans="11:29" x14ac:dyDescent="0.45">
      <c r="K516" s="1"/>
      <c r="L516" s="1"/>
      <c r="M516" s="1"/>
      <c r="N516" s="1"/>
      <c r="O516" s="1"/>
      <c r="P516" s="1"/>
      <c r="Q516" s="1"/>
      <c r="R516" s="132"/>
    </row>
    <row r="517" spans="11:29" x14ac:dyDescent="0.45">
      <c r="K517" s="1"/>
      <c r="L517" s="1"/>
      <c r="M517" s="1"/>
      <c r="N517" s="1"/>
      <c r="O517" s="1"/>
      <c r="P517" s="1"/>
      <c r="Q517" s="1"/>
      <c r="R517" s="132"/>
    </row>
    <row r="518" spans="11:29" x14ac:dyDescent="0.45">
      <c r="K518" s="1"/>
      <c r="L518" s="1"/>
      <c r="M518" s="1"/>
      <c r="N518" s="1"/>
      <c r="O518" s="1"/>
      <c r="P518" s="1"/>
      <c r="Q518" s="1"/>
      <c r="R518" s="132"/>
    </row>
    <row r="519" spans="11:29" x14ac:dyDescent="0.45">
      <c r="K519" s="1"/>
      <c r="L519" s="1"/>
      <c r="M519" s="1"/>
      <c r="N519" s="1"/>
      <c r="O519" s="1"/>
      <c r="P519" s="1"/>
      <c r="Q519" s="1"/>
      <c r="R519" s="132"/>
    </row>
    <row r="520" spans="11:29" x14ac:dyDescent="0.45">
      <c r="K520" s="1"/>
      <c r="L520" s="1"/>
      <c r="M520" s="1"/>
      <c r="N520" s="1"/>
      <c r="O520" s="1"/>
      <c r="P520" s="1"/>
      <c r="Q520" s="1"/>
      <c r="R520" s="132"/>
    </row>
    <row r="521" spans="11:29" x14ac:dyDescent="0.45">
      <c r="K521" s="1"/>
      <c r="L521" s="1"/>
      <c r="M521" s="1"/>
      <c r="N521" s="1"/>
      <c r="O521" s="1"/>
      <c r="P521" s="1"/>
      <c r="Q521" s="1"/>
      <c r="R521" s="132"/>
    </row>
    <row r="522" spans="11:29" x14ac:dyDescent="0.45">
      <c r="K522" s="1"/>
      <c r="L522" s="1"/>
      <c r="M522" s="1"/>
      <c r="N522" s="1"/>
      <c r="O522" s="1"/>
      <c r="P522" s="1"/>
      <c r="Q522" s="1"/>
      <c r="R522" s="132"/>
    </row>
    <row r="523" spans="11:29" x14ac:dyDescent="0.45">
      <c r="K523" s="1"/>
      <c r="L523" s="1"/>
      <c r="M523" s="1"/>
      <c r="N523" s="1"/>
      <c r="O523" s="1"/>
      <c r="P523" s="1"/>
      <c r="Q523" s="1"/>
      <c r="R523" s="132"/>
    </row>
    <row r="524" spans="11:29" x14ac:dyDescent="0.45">
      <c r="K524" s="1"/>
      <c r="L524" s="1"/>
      <c r="M524" s="1"/>
      <c r="N524" s="1"/>
      <c r="O524" s="1"/>
      <c r="P524" s="1"/>
      <c r="Q524" s="1"/>
      <c r="R524" s="132"/>
    </row>
    <row r="525" spans="11:29" x14ac:dyDescent="0.45">
      <c r="K525" s="1"/>
      <c r="L525" s="1"/>
      <c r="M525" s="1"/>
      <c r="N525" s="1"/>
      <c r="O525" s="1"/>
      <c r="P525" s="1"/>
      <c r="Q525" s="1"/>
      <c r="R525" s="132"/>
    </row>
    <row r="526" spans="11:29" x14ac:dyDescent="0.45">
      <c r="K526" s="1"/>
      <c r="L526" s="1"/>
      <c r="M526" s="1"/>
      <c r="N526" s="1"/>
      <c r="O526" s="1"/>
      <c r="P526" s="1"/>
      <c r="Q526" s="1"/>
      <c r="R526" s="132"/>
    </row>
    <row r="527" spans="11:29" x14ac:dyDescent="0.45">
      <c r="K527" s="1"/>
      <c r="L527" s="1"/>
      <c r="M527" s="1"/>
      <c r="N527" s="1"/>
      <c r="O527" s="1"/>
      <c r="P527" s="1"/>
      <c r="Q527" s="1"/>
      <c r="R527" s="132"/>
    </row>
    <row r="528" spans="11:29" x14ac:dyDescent="0.45">
      <c r="K528" s="1"/>
      <c r="L528" s="1"/>
      <c r="M528" s="1"/>
      <c r="N528" s="1"/>
      <c r="O528" s="1"/>
      <c r="P528" s="1"/>
      <c r="Q528" s="1"/>
      <c r="R528" s="132"/>
    </row>
    <row r="529" spans="11:38" ht="14.65" thickBot="1" x14ac:dyDescent="0.5">
      <c r="K529" s="1"/>
      <c r="L529" s="1"/>
      <c r="M529" s="1"/>
      <c r="N529" s="1"/>
      <c r="O529" s="1"/>
      <c r="P529" s="1"/>
      <c r="Q529" s="1"/>
      <c r="R529" s="132"/>
      <c r="T529" s="10" t="s">
        <v>197</v>
      </c>
    </row>
    <row r="530" spans="11:38" x14ac:dyDescent="0.45">
      <c r="K530" s="1"/>
      <c r="L530" s="1"/>
      <c r="M530" s="1"/>
      <c r="N530" s="1"/>
      <c r="O530" s="1"/>
      <c r="P530" s="1"/>
      <c r="Q530" s="1"/>
      <c r="R530" s="132"/>
      <c r="T530" s="4" t="s">
        <v>9</v>
      </c>
      <c r="U530" s="45">
        <v>8</v>
      </c>
      <c r="V530" s="234"/>
      <c r="W530" s="234"/>
      <c r="X530" s="234"/>
      <c r="Y530" s="234">
        <v>6</v>
      </c>
      <c r="Z530" s="235">
        <v>5</v>
      </c>
    </row>
    <row r="531" spans="11:38" ht="14.65" thickBot="1" x14ac:dyDescent="0.5">
      <c r="K531" s="1"/>
      <c r="L531" s="1"/>
      <c r="M531" s="1"/>
      <c r="N531" s="1"/>
      <c r="O531" s="1"/>
      <c r="P531" s="1"/>
      <c r="Q531" s="1"/>
      <c r="R531" s="132"/>
      <c r="T531" s="7" t="s">
        <v>10</v>
      </c>
      <c r="U531" s="247">
        <v>0</v>
      </c>
      <c r="V531" s="247">
        <v>0.28999999999999998</v>
      </c>
      <c r="W531" s="247">
        <v>0.3</v>
      </c>
      <c r="X531" s="247">
        <v>0.69</v>
      </c>
      <c r="Y531" s="247">
        <v>0.7</v>
      </c>
      <c r="Z531" s="248">
        <v>1</v>
      </c>
      <c r="AL531" s="132"/>
    </row>
    <row r="532" spans="11:38" x14ac:dyDescent="0.45">
      <c r="K532" s="1"/>
      <c r="L532" s="1"/>
      <c r="M532" s="1"/>
      <c r="N532" s="1"/>
      <c r="O532" s="1"/>
      <c r="P532" s="1"/>
      <c r="Q532" s="1"/>
      <c r="R532" s="132"/>
      <c r="AL532" s="134"/>
    </row>
    <row r="533" spans="11:38" x14ac:dyDescent="0.45">
      <c r="L533" s="1"/>
      <c r="M533" s="1"/>
      <c r="N533" s="1"/>
      <c r="O533" s="1"/>
      <c r="P533" s="1"/>
      <c r="Q533" s="1"/>
      <c r="R533" s="132"/>
      <c r="T533" s="48" t="s">
        <v>126</v>
      </c>
      <c r="AL533" s="132"/>
    </row>
    <row r="534" spans="11:38" x14ac:dyDescent="0.45">
      <c r="L534" s="1"/>
      <c r="M534" s="1"/>
      <c r="N534" s="1"/>
      <c r="O534" s="1"/>
      <c r="P534" s="1"/>
      <c r="Q534" s="1"/>
      <c r="R534" s="132"/>
      <c r="U534" s="10" t="s">
        <v>89</v>
      </c>
      <c r="V534" s="10" t="s">
        <v>275</v>
      </c>
      <c r="AL534" s="132"/>
    </row>
    <row r="535" spans="11:38" x14ac:dyDescent="0.45">
      <c r="L535" s="1"/>
      <c r="M535" s="1"/>
      <c r="N535" s="1"/>
      <c r="O535" s="1"/>
      <c r="P535" s="1"/>
      <c r="Q535" s="1"/>
      <c r="R535" s="132"/>
      <c r="T535" s="8" t="s">
        <v>112</v>
      </c>
      <c r="U535" s="128">
        <v>-0.3</v>
      </c>
      <c r="V535" s="9">
        <v>-0.35</v>
      </c>
      <c r="W535" s="12"/>
      <c r="AL535" s="132"/>
    </row>
    <row r="536" spans="11:38" x14ac:dyDescent="0.45">
      <c r="L536" s="1"/>
      <c r="M536" s="1"/>
      <c r="N536" s="1"/>
      <c r="O536" s="1"/>
      <c r="P536" s="1"/>
      <c r="Q536" s="1"/>
      <c r="R536" s="132"/>
      <c r="T536" s="8" t="s">
        <v>113</v>
      </c>
      <c r="U536" s="136">
        <v>2.5</v>
      </c>
      <c r="V536" s="39">
        <v>2.8</v>
      </c>
    </row>
    <row r="537" spans="11:38" x14ac:dyDescent="0.45">
      <c r="L537" s="1"/>
      <c r="M537" s="1"/>
      <c r="N537" s="1"/>
      <c r="O537" s="1"/>
      <c r="P537" s="1"/>
      <c r="Q537" s="1"/>
      <c r="R537" s="132"/>
    </row>
    <row r="538" spans="11:38" x14ac:dyDescent="0.45">
      <c r="L538" s="1"/>
      <c r="M538" s="1"/>
      <c r="N538" s="1"/>
      <c r="O538" s="1"/>
      <c r="P538" s="1"/>
      <c r="Q538" s="1"/>
      <c r="R538" s="132"/>
    </row>
    <row r="539" spans="11:38" x14ac:dyDescent="0.45">
      <c r="L539" s="1"/>
      <c r="M539" s="1"/>
      <c r="N539" s="1"/>
      <c r="O539" s="1"/>
      <c r="P539" s="1"/>
      <c r="Q539" s="1"/>
      <c r="R539" s="132"/>
    </row>
    <row r="540" spans="11:38" x14ac:dyDescent="0.45">
      <c r="L540" s="1"/>
      <c r="M540" s="1"/>
      <c r="N540" s="1"/>
      <c r="O540" s="1"/>
      <c r="P540" s="1"/>
      <c r="Q540" s="1"/>
      <c r="R540" s="132"/>
    </row>
    <row r="541" spans="11:38" x14ac:dyDescent="0.45">
      <c r="L541" s="1"/>
      <c r="M541" s="1"/>
      <c r="N541" s="1"/>
      <c r="O541" s="1"/>
      <c r="P541" s="1"/>
      <c r="Q541" s="1"/>
      <c r="R541" s="132"/>
    </row>
    <row r="542" spans="11:38" x14ac:dyDescent="0.45">
      <c r="L542" s="1"/>
      <c r="M542" s="1"/>
      <c r="N542" s="1"/>
      <c r="O542" s="1"/>
      <c r="P542" s="1"/>
      <c r="Q542" s="1"/>
      <c r="R542" s="132"/>
    </row>
    <row r="543" spans="11:38" x14ac:dyDescent="0.45">
      <c r="L543" s="1"/>
      <c r="M543" s="1"/>
      <c r="N543" s="1"/>
      <c r="O543" s="1"/>
      <c r="P543" s="1"/>
      <c r="Q543" s="1"/>
      <c r="R543" s="132"/>
    </row>
    <row r="544" spans="11:38" x14ac:dyDescent="0.45">
      <c r="L544" s="1"/>
      <c r="M544" s="1"/>
      <c r="N544" s="1"/>
      <c r="O544" s="1"/>
      <c r="P544" s="1"/>
      <c r="Q544" s="1"/>
      <c r="R544" s="132"/>
    </row>
    <row r="545" spans="12:30" x14ac:dyDescent="0.45">
      <c r="L545" s="1"/>
      <c r="M545" s="1"/>
      <c r="N545" s="1"/>
      <c r="O545" s="1"/>
      <c r="P545" s="1"/>
      <c r="Q545" s="1"/>
      <c r="R545" s="132"/>
    </row>
    <row r="546" spans="12:30" x14ac:dyDescent="0.45">
      <c r="AD546" s="1"/>
    </row>
    <row r="547" spans="12:30" x14ac:dyDescent="0.45">
      <c r="AD547" s="1"/>
    </row>
    <row r="548" spans="12:30" x14ac:dyDescent="0.45">
      <c r="AD548" s="2"/>
    </row>
    <row r="549" spans="12:30" x14ac:dyDescent="0.45">
      <c r="AD549" s="2"/>
    </row>
    <row r="550" spans="12:30" x14ac:dyDescent="0.45">
      <c r="AD550" s="1"/>
    </row>
    <row r="551" spans="12:30" x14ac:dyDescent="0.45">
      <c r="AD551" s="1"/>
    </row>
    <row r="552" spans="12:30" x14ac:dyDescent="0.45">
      <c r="AD552" s="1"/>
    </row>
    <row r="553" spans="12:30" x14ac:dyDescent="0.45">
      <c r="AD553" s="1"/>
    </row>
    <row r="554" spans="12:30" x14ac:dyDescent="0.45">
      <c r="AD554" s="2"/>
    </row>
    <row r="555" spans="12:30" x14ac:dyDescent="0.45">
      <c r="AD555" s="2"/>
    </row>
    <row r="556" spans="12:30" x14ac:dyDescent="0.45">
      <c r="S556" s="9"/>
      <c r="AD556" s="1"/>
    </row>
    <row r="557" spans="12:30" x14ac:dyDescent="0.45">
      <c r="S557" s="9"/>
      <c r="AD557" s="1"/>
    </row>
    <row r="558" spans="12:30" x14ac:dyDescent="0.45">
      <c r="AD558" s="1"/>
    </row>
    <row r="559" spans="12:30" x14ac:dyDescent="0.45">
      <c r="AD559" s="1"/>
    </row>
    <row r="560" spans="12:30" x14ac:dyDescent="0.45">
      <c r="AD560" s="1"/>
    </row>
    <row r="561" spans="20:38" ht="14.65" thickBot="1" x14ac:dyDescent="0.5">
      <c r="T561" s="10" t="s">
        <v>198</v>
      </c>
      <c r="AD561" s="1"/>
    </row>
    <row r="562" spans="20:38" x14ac:dyDescent="0.45">
      <c r="T562" s="587" t="s">
        <v>336</v>
      </c>
      <c r="U562" s="234">
        <v>1</v>
      </c>
      <c r="V562" s="234"/>
      <c r="W562" s="234"/>
      <c r="X562" s="234"/>
      <c r="Y562" s="234"/>
      <c r="Z562" s="235">
        <v>3.5</v>
      </c>
      <c r="AD562" s="1"/>
    </row>
    <row r="563" spans="20:38" x14ac:dyDescent="0.45">
      <c r="T563" s="588"/>
      <c r="U563" s="76">
        <v>9</v>
      </c>
      <c r="V563" s="76"/>
      <c r="W563" s="76"/>
      <c r="X563" s="76"/>
      <c r="Y563" s="76"/>
      <c r="Z563" s="236">
        <v>6</v>
      </c>
      <c r="AD563" s="1"/>
    </row>
    <row r="564" spans="20:38" ht="14.65" thickBot="1" x14ac:dyDescent="0.5">
      <c r="T564" s="7" t="s">
        <v>10</v>
      </c>
      <c r="U564" s="247">
        <v>0</v>
      </c>
      <c r="V564" s="247">
        <v>0.28999999999999998</v>
      </c>
      <c r="W564" s="247">
        <v>0.3</v>
      </c>
      <c r="X564" s="247">
        <v>0.69</v>
      </c>
      <c r="Y564" s="247">
        <v>0.7</v>
      </c>
      <c r="Z564" s="248">
        <v>1</v>
      </c>
    </row>
    <row r="565" spans="20:38" x14ac:dyDescent="0.45">
      <c r="AL565" s="134"/>
    </row>
    <row r="566" spans="20:38" x14ac:dyDescent="0.45">
      <c r="T566" s="81" t="s">
        <v>126</v>
      </c>
      <c r="AL566" s="132"/>
    </row>
    <row r="567" spans="20:38" x14ac:dyDescent="0.45">
      <c r="U567" s="10" t="s">
        <v>163</v>
      </c>
      <c r="V567" s="81" t="s">
        <v>164</v>
      </c>
      <c r="AL567" s="132"/>
    </row>
    <row r="568" spans="20:38" x14ac:dyDescent="0.45">
      <c r="T568" s="8" t="s">
        <v>112</v>
      </c>
      <c r="U568" s="9">
        <v>0.4</v>
      </c>
      <c r="V568" s="9">
        <v>-0.33329999999999999</v>
      </c>
      <c r="AD568" s="1"/>
      <c r="AL568" s="132"/>
    </row>
    <row r="569" spans="20:38" x14ac:dyDescent="0.45">
      <c r="T569" s="8" t="s">
        <v>113</v>
      </c>
      <c r="U569" s="9">
        <v>-0.4</v>
      </c>
      <c r="V569" s="9">
        <v>3</v>
      </c>
      <c r="AD569" s="73"/>
    </row>
    <row r="570" spans="20:38" x14ac:dyDescent="0.45">
      <c r="AA570" s="1"/>
      <c r="AB570" s="1"/>
      <c r="AC570" s="132"/>
      <c r="AD570" s="73"/>
    </row>
    <row r="571" spans="20:38" x14ac:dyDescent="0.45">
      <c r="AA571" s="1"/>
      <c r="AB571" s="1"/>
      <c r="AC571" s="132"/>
      <c r="AD571" s="1"/>
    </row>
    <row r="572" spans="20:38" x14ac:dyDescent="0.45">
      <c r="AA572" s="2"/>
      <c r="AB572" s="2"/>
      <c r="AC572" s="131"/>
      <c r="AD572" s="1"/>
    </row>
    <row r="573" spans="20:38" x14ac:dyDescent="0.45">
      <c r="AA573" s="2"/>
      <c r="AB573" s="2"/>
      <c r="AC573" s="131"/>
      <c r="AD573" s="1"/>
    </row>
    <row r="574" spans="20:38" x14ac:dyDescent="0.45">
      <c r="AA574" s="1"/>
      <c r="AB574" s="1"/>
      <c r="AC574" s="132"/>
      <c r="AD574" s="1"/>
    </row>
    <row r="575" spans="20:38" x14ac:dyDescent="0.45">
      <c r="AA575" s="1"/>
      <c r="AB575" s="1"/>
      <c r="AC575" s="132"/>
    </row>
    <row r="576" spans="20:38" x14ac:dyDescent="0.45">
      <c r="AA576" s="1"/>
      <c r="AB576" s="1"/>
      <c r="AC576" s="132"/>
    </row>
    <row r="577" spans="12:29" x14ac:dyDescent="0.45">
      <c r="L577" s="9"/>
      <c r="AA577" s="1"/>
      <c r="AB577" s="1"/>
      <c r="AC577" s="132"/>
    </row>
    <row r="578" spans="12:29" x14ac:dyDescent="0.45">
      <c r="L578" s="9"/>
      <c r="AA578" s="2"/>
      <c r="AB578" s="2"/>
      <c r="AC578" s="131"/>
    </row>
    <row r="579" spans="12:29" x14ac:dyDescent="0.45">
      <c r="L579" s="9"/>
      <c r="AA579" s="2"/>
      <c r="AB579" s="2"/>
      <c r="AC579" s="131"/>
    </row>
    <row r="580" spans="12:29" x14ac:dyDescent="0.45">
      <c r="L580" s="9"/>
      <c r="AA580" s="1"/>
      <c r="AB580" s="1"/>
      <c r="AC580" s="132"/>
    </row>
    <row r="581" spans="12:29" x14ac:dyDescent="0.45">
      <c r="L581" s="9"/>
      <c r="AA581" s="1"/>
      <c r="AB581" s="1"/>
      <c r="AC581" s="132"/>
    </row>
    <row r="582" spans="12:29" x14ac:dyDescent="0.45">
      <c r="L582" s="9"/>
      <c r="AA582" s="1"/>
      <c r="AB582" s="1"/>
      <c r="AC582" s="132"/>
    </row>
    <row r="583" spans="12:29" x14ac:dyDescent="0.45">
      <c r="L583" s="9"/>
      <c r="AA583" s="1"/>
      <c r="AB583" s="1"/>
      <c r="AC583" s="132"/>
    </row>
    <row r="584" spans="12:29" x14ac:dyDescent="0.45">
      <c r="L584" s="9"/>
      <c r="M584" s="9"/>
      <c r="N584" s="9"/>
      <c r="O584" s="9"/>
      <c r="P584" s="9"/>
      <c r="Q584" s="9"/>
      <c r="R584" s="132"/>
      <c r="AA584" s="1"/>
      <c r="AB584" s="1"/>
      <c r="AC584" s="132"/>
    </row>
    <row r="585" spans="12:29" x14ac:dyDescent="0.45">
      <c r="L585" s="9"/>
      <c r="M585" s="9"/>
      <c r="N585" s="9"/>
      <c r="O585" s="9"/>
      <c r="P585" s="9"/>
      <c r="Q585" s="9"/>
      <c r="R585" s="132"/>
      <c r="AA585" s="1"/>
      <c r="AB585" s="1"/>
      <c r="AC585" s="132"/>
    </row>
    <row r="586" spans="12:29" x14ac:dyDescent="0.45">
      <c r="L586" s="1"/>
      <c r="M586" s="1"/>
      <c r="N586" s="1"/>
      <c r="O586" s="1"/>
      <c r="P586" s="1"/>
      <c r="Q586" s="1"/>
      <c r="R586" s="132"/>
      <c r="AA586" s="1"/>
      <c r="AB586" s="1"/>
      <c r="AC586" s="132"/>
    </row>
    <row r="587" spans="12:29" x14ac:dyDescent="0.45">
      <c r="L587" s="1"/>
      <c r="M587" s="1"/>
      <c r="N587" s="1"/>
      <c r="O587" s="1"/>
      <c r="P587" s="1"/>
      <c r="Q587" s="1"/>
      <c r="R587" s="132"/>
      <c r="AA587" s="1"/>
      <c r="AB587" s="1"/>
      <c r="AC587" s="132"/>
    </row>
    <row r="588" spans="12:29" x14ac:dyDescent="0.45">
      <c r="L588" s="1"/>
      <c r="M588" s="1"/>
      <c r="N588" s="1"/>
      <c r="O588" s="1"/>
      <c r="P588" s="1"/>
      <c r="Q588" s="1"/>
      <c r="R588" s="132"/>
    </row>
    <row r="589" spans="12:29" x14ac:dyDescent="0.45">
      <c r="L589" s="2"/>
      <c r="M589" s="2"/>
      <c r="N589" s="2"/>
      <c r="O589" s="2"/>
      <c r="P589" s="2"/>
      <c r="Q589" s="2"/>
      <c r="R589" s="131"/>
    </row>
    <row r="590" spans="12:29" x14ac:dyDescent="0.45">
      <c r="L590" s="2"/>
      <c r="M590" s="2"/>
      <c r="N590" s="2"/>
      <c r="O590" s="2"/>
      <c r="P590" s="2"/>
      <c r="Q590" s="2"/>
      <c r="R590" s="131"/>
    </row>
    <row r="591" spans="12:29" x14ac:dyDescent="0.45">
      <c r="L591" s="1"/>
      <c r="M591" s="1"/>
      <c r="N591" s="1"/>
      <c r="O591" s="1"/>
      <c r="P591" s="1"/>
      <c r="Q591" s="1"/>
      <c r="R591" s="132"/>
    </row>
    <row r="592" spans="12:29" x14ac:dyDescent="0.45">
      <c r="L592" s="1"/>
      <c r="M592" s="1"/>
      <c r="N592" s="1"/>
      <c r="O592" s="1"/>
      <c r="P592" s="1"/>
      <c r="Q592" s="1"/>
      <c r="R592" s="132"/>
      <c r="AA592" s="1"/>
      <c r="AB592" s="1"/>
      <c r="AC592" s="132"/>
    </row>
    <row r="593" spans="12:30" x14ac:dyDescent="0.45">
      <c r="L593" s="1"/>
      <c r="M593" s="1"/>
      <c r="N593" s="1"/>
      <c r="O593" s="1"/>
      <c r="P593" s="1"/>
      <c r="Q593" s="1"/>
      <c r="R593" s="132"/>
      <c r="AA593" s="73"/>
      <c r="AB593" s="73"/>
      <c r="AC593" s="133"/>
    </row>
    <row r="594" spans="12:30" x14ac:dyDescent="0.45">
      <c r="L594" s="1"/>
      <c r="M594" s="1"/>
      <c r="N594" s="1"/>
      <c r="O594" s="1"/>
      <c r="P594" s="1"/>
      <c r="Q594" s="1"/>
      <c r="R594" s="132"/>
      <c r="AA594" s="73"/>
      <c r="AB594" s="73"/>
      <c r="AC594" s="133"/>
    </row>
    <row r="595" spans="12:30" x14ac:dyDescent="0.45">
      <c r="L595" s="1"/>
      <c r="M595" s="1"/>
      <c r="N595" s="1"/>
      <c r="O595" s="1"/>
      <c r="P595" s="1"/>
      <c r="Q595" s="1"/>
      <c r="R595" s="132"/>
      <c r="AA595" s="1"/>
      <c r="AB595" s="1"/>
      <c r="AC595" s="132"/>
    </row>
    <row r="596" spans="12:30" ht="14.65" thickBot="1" x14ac:dyDescent="0.5">
      <c r="L596" s="1"/>
      <c r="M596" s="1"/>
      <c r="N596" s="13"/>
      <c r="O596" s="1"/>
      <c r="P596" s="1"/>
      <c r="Q596" s="1"/>
      <c r="R596" s="132"/>
      <c r="T596" s="9" t="s">
        <v>257</v>
      </c>
      <c r="U596" s="9"/>
      <c r="V596" s="9"/>
      <c r="W596" s="9"/>
      <c r="X596" s="9"/>
      <c r="Y596" s="9"/>
      <c r="Z596" s="9"/>
      <c r="AA596" s="1"/>
      <c r="AB596" s="1"/>
      <c r="AC596" s="132"/>
    </row>
    <row r="597" spans="12:30" x14ac:dyDescent="0.45">
      <c r="L597" s="1"/>
      <c r="M597" s="1"/>
      <c r="N597" s="1"/>
      <c r="O597" s="1"/>
      <c r="P597" s="1"/>
      <c r="Q597" s="1"/>
      <c r="R597" s="132"/>
      <c r="T597" s="4" t="s">
        <v>9</v>
      </c>
      <c r="U597" s="45">
        <v>1</v>
      </c>
      <c r="V597" s="45"/>
      <c r="W597" s="45">
        <v>1.1000000000000001</v>
      </c>
      <c r="X597" s="45"/>
      <c r="Y597" s="45">
        <v>1.4</v>
      </c>
      <c r="Z597" s="156">
        <v>1.7</v>
      </c>
      <c r="AA597" s="1"/>
      <c r="AB597" s="1"/>
      <c r="AC597" s="132"/>
    </row>
    <row r="598" spans="12:30" ht="14.65" thickBot="1" x14ac:dyDescent="0.5">
      <c r="L598" s="1"/>
      <c r="M598" s="1"/>
      <c r="N598" s="1"/>
      <c r="O598" s="1"/>
      <c r="P598" s="1"/>
      <c r="Q598" s="1"/>
      <c r="R598" s="132"/>
      <c r="T598" s="7" t="s">
        <v>10</v>
      </c>
      <c r="U598" s="247">
        <v>0</v>
      </c>
      <c r="V598" s="247">
        <v>0.28999999999999998</v>
      </c>
      <c r="W598" s="247">
        <v>0.3</v>
      </c>
      <c r="X598" s="247">
        <v>0.69</v>
      </c>
      <c r="Y598" s="247">
        <v>0.7</v>
      </c>
      <c r="Z598" s="248">
        <v>1</v>
      </c>
      <c r="AA598" s="1"/>
      <c r="AB598" s="1"/>
      <c r="AC598" s="132"/>
    </row>
    <row r="599" spans="12:30" x14ac:dyDescent="0.45">
      <c r="L599" s="1"/>
      <c r="M599" s="1"/>
      <c r="N599" s="1"/>
      <c r="O599" s="1"/>
      <c r="P599" s="1"/>
      <c r="Q599" s="1"/>
      <c r="R599" s="132"/>
    </row>
    <row r="600" spans="12:30" x14ac:dyDescent="0.45">
      <c r="L600" s="1"/>
      <c r="M600" s="1"/>
      <c r="N600" s="1"/>
      <c r="O600" s="1"/>
      <c r="P600" s="1"/>
      <c r="Q600" s="1"/>
      <c r="R600" s="132"/>
      <c r="T600" s="51" t="s">
        <v>126</v>
      </c>
      <c r="V600" s="229"/>
    </row>
    <row r="601" spans="12:30" x14ac:dyDescent="0.45">
      <c r="L601" s="1"/>
      <c r="M601" s="1"/>
      <c r="N601" s="1"/>
      <c r="O601" s="1"/>
      <c r="P601" s="1"/>
      <c r="Q601" s="1"/>
      <c r="R601" s="132"/>
      <c r="U601" s="129" t="s">
        <v>115</v>
      </c>
      <c r="V601" s="129" t="s">
        <v>212</v>
      </c>
      <c r="W601" s="129" t="s">
        <v>89</v>
      </c>
    </row>
    <row r="602" spans="12:30" x14ac:dyDescent="0.45">
      <c r="L602" s="2"/>
      <c r="M602" s="2"/>
      <c r="N602" s="2"/>
      <c r="O602" s="2"/>
      <c r="P602" s="2"/>
      <c r="Q602" s="2"/>
      <c r="R602" s="131"/>
      <c r="T602" s="73" t="s">
        <v>112</v>
      </c>
      <c r="U602" s="9">
        <v>3</v>
      </c>
      <c r="V602" s="9">
        <v>1.3332999999999999</v>
      </c>
      <c r="W602" s="9">
        <v>1</v>
      </c>
    </row>
    <row r="603" spans="12:30" x14ac:dyDescent="0.45">
      <c r="L603" s="2"/>
      <c r="M603" s="2"/>
      <c r="N603" s="2"/>
      <c r="O603" s="2"/>
      <c r="P603" s="2"/>
      <c r="Q603" s="2"/>
      <c r="R603" s="131"/>
      <c r="T603" s="73" t="s">
        <v>113</v>
      </c>
      <c r="U603" s="9">
        <v>-3</v>
      </c>
      <c r="V603" s="9">
        <v>-1.1667000000000001</v>
      </c>
      <c r="W603" s="9">
        <v>-0.7</v>
      </c>
      <c r="AD603" s="1"/>
    </row>
    <row r="604" spans="12:30" x14ac:dyDescent="0.45">
      <c r="L604" s="1"/>
      <c r="M604" s="1"/>
      <c r="N604" s="1"/>
      <c r="O604" s="1"/>
      <c r="P604" s="1"/>
      <c r="Q604" s="1"/>
      <c r="R604" s="132"/>
      <c r="T604" s="9"/>
      <c r="U604" s="9"/>
      <c r="V604" s="9"/>
      <c r="AD604" s="73"/>
    </row>
    <row r="605" spans="12:30" x14ac:dyDescent="0.45">
      <c r="L605" s="1"/>
      <c r="M605" s="1"/>
      <c r="N605" s="1"/>
      <c r="O605" s="1"/>
      <c r="P605" s="1"/>
      <c r="Q605" s="1"/>
      <c r="R605" s="132"/>
      <c r="T605" s="9"/>
      <c r="U605" s="9"/>
      <c r="V605" s="39"/>
      <c r="AD605" s="73"/>
    </row>
    <row r="606" spans="12:30" x14ac:dyDescent="0.45">
      <c r="L606" s="1"/>
      <c r="M606" s="1"/>
      <c r="N606" s="1"/>
      <c r="O606" s="1"/>
      <c r="P606" s="1"/>
      <c r="Q606" s="1"/>
      <c r="R606" s="132"/>
      <c r="T606" s="9"/>
      <c r="U606" s="9"/>
      <c r="V606" s="9"/>
      <c r="AD606" s="1"/>
    </row>
    <row r="607" spans="12:30" x14ac:dyDescent="0.45">
      <c r="L607" s="1"/>
      <c r="M607" s="1"/>
      <c r="N607" s="1"/>
      <c r="O607" s="1"/>
      <c r="P607" s="1"/>
      <c r="Q607" s="1"/>
      <c r="R607" s="132"/>
      <c r="AD607" s="1"/>
    </row>
    <row r="608" spans="12:30" x14ac:dyDescent="0.45">
      <c r="L608" s="1"/>
      <c r="M608" s="1"/>
      <c r="N608" s="1"/>
      <c r="O608" s="1"/>
      <c r="P608" s="1"/>
      <c r="Q608" s="1"/>
      <c r="R608" s="132"/>
      <c r="AD608" s="1"/>
    </row>
    <row r="609" spans="12:30" x14ac:dyDescent="0.45">
      <c r="L609" s="1"/>
      <c r="M609" s="1"/>
      <c r="N609" s="1"/>
      <c r="O609" s="13"/>
      <c r="P609" s="1"/>
      <c r="Q609" s="1"/>
      <c r="R609" s="132"/>
      <c r="AD609" s="1"/>
    </row>
    <row r="610" spans="12:30" x14ac:dyDescent="0.45">
      <c r="L610" s="9"/>
      <c r="M610" s="9"/>
      <c r="N610" s="9"/>
      <c r="O610" s="9"/>
      <c r="P610" s="9"/>
      <c r="Q610" s="9"/>
      <c r="R610" s="132"/>
    </row>
    <row r="611" spans="12:30" x14ac:dyDescent="0.45">
      <c r="L611" s="9"/>
      <c r="M611" s="9"/>
      <c r="N611" s="9"/>
      <c r="O611" s="9"/>
      <c r="P611" s="9"/>
      <c r="Q611" s="9"/>
      <c r="R611" s="132"/>
    </row>
    <row r="612" spans="12:30" x14ac:dyDescent="0.45">
      <c r="L612" s="9"/>
      <c r="M612" s="9"/>
      <c r="N612" s="9"/>
      <c r="O612" s="9"/>
      <c r="P612" s="9"/>
      <c r="Q612" s="9"/>
      <c r="R612" s="132"/>
      <c r="T612" s="1"/>
    </row>
    <row r="613" spans="12:30" x14ac:dyDescent="0.45">
      <c r="T613" s="2"/>
    </row>
    <row r="614" spans="12:30" x14ac:dyDescent="0.45">
      <c r="T614" s="2"/>
    </row>
    <row r="615" spans="12:30" x14ac:dyDescent="0.45">
      <c r="T615" s="1"/>
    </row>
    <row r="616" spans="12:30" x14ac:dyDescent="0.45">
      <c r="T616" s="2"/>
    </row>
    <row r="617" spans="12:30" x14ac:dyDescent="0.45">
      <c r="T617" s="2"/>
    </row>
    <row r="618" spans="12:30" x14ac:dyDescent="0.45">
      <c r="T618" s="1"/>
    </row>
    <row r="619" spans="12:30" x14ac:dyDescent="0.45">
      <c r="T619" s="1"/>
    </row>
    <row r="620" spans="12:30" x14ac:dyDescent="0.45">
      <c r="T620" s="1"/>
    </row>
    <row r="621" spans="12:30" x14ac:dyDescent="0.45">
      <c r="T621" s="1"/>
    </row>
    <row r="622" spans="12:30" x14ac:dyDescent="0.45">
      <c r="T622" s="1"/>
    </row>
    <row r="623" spans="12:30" x14ac:dyDescent="0.45">
      <c r="T623" s="1"/>
    </row>
    <row r="624" spans="12:30" x14ac:dyDescent="0.45">
      <c r="T624" s="2"/>
    </row>
    <row r="625" spans="20:29" x14ac:dyDescent="0.45">
      <c r="T625" s="2"/>
    </row>
    <row r="626" spans="20:29" x14ac:dyDescent="0.45">
      <c r="T626" s="1"/>
      <c r="U626" s="1"/>
      <c r="V626" s="1"/>
      <c r="W626" s="1"/>
      <c r="X626" s="1"/>
      <c r="Y626" s="1"/>
      <c r="Z626" s="1"/>
    </row>
    <row r="627" spans="20:29" x14ac:dyDescent="0.45">
      <c r="T627" s="2"/>
      <c r="U627" s="2"/>
      <c r="V627" s="2"/>
      <c r="W627" s="2"/>
      <c r="X627" s="2"/>
      <c r="Y627" s="2"/>
      <c r="Z627" s="2"/>
      <c r="AA627" s="1"/>
      <c r="AB627" s="1"/>
      <c r="AC627" s="132"/>
    </row>
    <row r="628" spans="20:29" x14ac:dyDescent="0.45">
      <c r="AA628" s="73"/>
      <c r="AB628" s="73"/>
      <c r="AC628" s="133"/>
    </row>
    <row r="629" spans="20:29" ht="14.65" thickBot="1" x14ac:dyDescent="0.5">
      <c r="T629" s="9" t="s">
        <v>213</v>
      </c>
      <c r="U629" s="9"/>
      <c r="V629" s="9"/>
      <c r="W629" s="9"/>
      <c r="X629" s="9"/>
      <c r="Y629" s="9"/>
      <c r="Z629" s="9"/>
      <c r="AA629" s="73"/>
      <c r="AB629" s="73"/>
      <c r="AC629" s="133"/>
    </row>
    <row r="630" spans="20:29" x14ac:dyDescent="0.45">
      <c r="T630" s="4" t="s">
        <v>9</v>
      </c>
      <c r="U630" s="45">
        <v>1</v>
      </c>
      <c r="V630" s="45"/>
      <c r="W630" s="45">
        <v>2</v>
      </c>
      <c r="X630" s="45"/>
      <c r="Y630" s="45">
        <v>2.2999999999999998</v>
      </c>
      <c r="Z630" s="156">
        <v>2.9</v>
      </c>
      <c r="AA630" s="1"/>
      <c r="AB630" s="1"/>
      <c r="AC630" s="132"/>
    </row>
    <row r="631" spans="20:29" ht="14.65" thickBot="1" x14ac:dyDescent="0.5">
      <c r="T631" s="7" t="s">
        <v>10</v>
      </c>
      <c r="U631" s="247">
        <v>0</v>
      </c>
      <c r="V631" s="247">
        <v>0.28999999999999998</v>
      </c>
      <c r="W631" s="247">
        <v>0.3</v>
      </c>
      <c r="X631" s="247">
        <v>0.69</v>
      </c>
      <c r="Y631" s="247">
        <v>0.7</v>
      </c>
      <c r="Z631" s="248">
        <v>1</v>
      </c>
      <c r="AA631" s="1"/>
      <c r="AB631" s="1"/>
      <c r="AC631" s="132"/>
    </row>
    <row r="632" spans="20:29" x14ac:dyDescent="0.45">
      <c r="AA632" s="1"/>
      <c r="AB632" s="1"/>
      <c r="AC632" s="132"/>
    </row>
    <row r="633" spans="20:29" x14ac:dyDescent="0.45">
      <c r="T633" s="51" t="s">
        <v>126</v>
      </c>
      <c r="V633" s="229"/>
      <c r="AA633" s="1"/>
      <c r="AB633" s="1"/>
      <c r="AC633" s="132"/>
    </row>
    <row r="634" spans="20:29" x14ac:dyDescent="0.45">
      <c r="U634" s="129" t="s">
        <v>115</v>
      </c>
      <c r="V634" s="129" t="s">
        <v>212</v>
      </c>
      <c r="W634" s="129" t="s">
        <v>89</v>
      </c>
    </row>
    <row r="635" spans="20:29" x14ac:dyDescent="0.45">
      <c r="T635" s="54" t="s">
        <v>112</v>
      </c>
      <c r="U635" s="9">
        <v>0.3</v>
      </c>
      <c r="V635" s="9">
        <v>1.3332999999999999</v>
      </c>
      <c r="W635" s="9">
        <v>0.5</v>
      </c>
    </row>
    <row r="636" spans="20:29" x14ac:dyDescent="0.45">
      <c r="T636" s="54" t="s">
        <v>113</v>
      </c>
      <c r="U636" s="9">
        <v>-0.3</v>
      </c>
      <c r="V636" s="9">
        <v>-2.3666999999999998</v>
      </c>
      <c r="W636" s="9">
        <v>-0.45</v>
      </c>
    </row>
    <row r="637" spans="20:29" x14ac:dyDescent="0.45">
      <c r="T637" s="9"/>
      <c r="U637" s="9"/>
      <c r="V637" s="9"/>
    </row>
    <row r="638" spans="20:29" x14ac:dyDescent="0.45">
      <c r="T638" s="9"/>
      <c r="U638" s="9"/>
      <c r="V638" s="39"/>
    </row>
    <row r="639" spans="20:29" x14ac:dyDescent="0.45">
      <c r="T639" s="9"/>
      <c r="U639" s="9"/>
      <c r="V639" s="9"/>
    </row>
    <row r="645" spans="20:20" x14ac:dyDescent="0.45">
      <c r="T645" s="1"/>
    </row>
    <row r="646" spans="20:20" x14ac:dyDescent="0.45">
      <c r="T646" s="2"/>
    </row>
    <row r="647" spans="20:20" x14ac:dyDescent="0.45">
      <c r="T647" s="2"/>
    </row>
    <row r="648" spans="20:20" x14ac:dyDescent="0.45">
      <c r="T648" s="1"/>
    </row>
    <row r="649" spans="20:20" x14ac:dyDescent="0.45">
      <c r="T649" s="2"/>
    </row>
    <row r="650" spans="20:20" x14ac:dyDescent="0.45">
      <c r="T650" s="2"/>
    </row>
    <row r="651" spans="20:20" x14ac:dyDescent="0.45">
      <c r="T651" s="1"/>
    </row>
    <row r="652" spans="20:20" x14ac:dyDescent="0.45">
      <c r="T652" s="1"/>
    </row>
    <row r="653" spans="20:20" x14ac:dyDescent="0.45">
      <c r="T653" s="1"/>
    </row>
    <row r="654" spans="20:20" x14ac:dyDescent="0.45">
      <c r="T654" s="1"/>
    </row>
    <row r="655" spans="20:20" x14ac:dyDescent="0.45">
      <c r="T655" s="1"/>
    </row>
    <row r="656" spans="20:20" x14ac:dyDescent="0.45">
      <c r="T656" s="1"/>
    </row>
    <row r="657" spans="20:30" x14ac:dyDescent="0.45">
      <c r="T657" s="2"/>
    </row>
    <row r="658" spans="20:30" x14ac:dyDescent="0.45">
      <c r="T658" s="2"/>
    </row>
    <row r="659" spans="20:30" x14ac:dyDescent="0.45">
      <c r="T659" s="1"/>
      <c r="U659" s="1"/>
      <c r="V659" s="1"/>
      <c r="W659" s="1"/>
      <c r="X659" s="1"/>
      <c r="Y659" s="1"/>
      <c r="Z659" s="1"/>
    </row>
    <row r="660" spans="20:30" x14ac:dyDescent="0.45">
      <c r="T660" s="2"/>
      <c r="U660" s="2"/>
      <c r="V660" s="2"/>
      <c r="W660" s="2"/>
      <c r="X660" s="2"/>
      <c r="Y660" s="2"/>
      <c r="Z660" s="2"/>
    </row>
    <row r="661" spans="20:30" x14ac:dyDescent="0.45">
      <c r="T661" s="2"/>
      <c r="U661" s="9"/>
      <c r="V661" s="9"/>
      <c r="W661" s="9"/>
      <c r="X661" s="9"/>
      <c r="Y661" s="9"/>
      <c r="Z661" s="9"/>
    </row>
    <row r="662" spans="20:30" ht="14.65" thickBot="1" x14ac:dyDescent="0.5">
      <c r="T662" s="9" t="s">
        <v>214</v>
      </c>
      <c r="U662" s="9"/>
      <c r="V662" s="9"/>
      <c r="W662" s="9"/>
      <c r="X662" s="9"/>
      <c r="Y662" s="9"/>
      <c r="Z662" s="9"/>
    </row>
    <row r="663" spans="20:30" x14ac:dyDescent="0.45">
      <c r="T663" s="4" t="s">
        <v>9</v>
      </c>
      <c r="U663" s="45">
        <v>1</v>
      </c>
      <c r="V663" s="45"/>
      <c r="W663" s="45">
        <v>1.2</v>
      </c>
      <c r="X663" s="45"/>
      <c r="Y663" s="45">
        <v>1.9</v>
      </c>
      <c r="Z663" s="156">
        <v>2.2999999999999998</v>
      </c>
    </row>
    <row r="664" spans="20:30" ht="14.65" thickBot="1" x14ac:dyDescent="0.5">
      <c r="T664" s="7" t="s">
        <v>10</v>
      </c>
      <c r="U664" s="247">
        <v>0</v>
      </c>
      <c r="V664" s="247">
        <v>0.28999999999999998</v>
      </c>
      <c r="W664" s="247">
        <v>0.3</v>
      </c>
      <c r="X664" s="247">
        <v>0.69</v>
      </c>
      <c r="Y664" s="247">
        <v>0.7</v>
      </c>
      <c r="Z664" s="248">
        <v>1</v>
      </c>
    </row>
    <row r="666" spans="20:30" x14ac:dyDescent="0.45">
      <c r="T666" s="99" t="s">
        <v>126</v>
      </c>
    </row>
    <row r="667" spans="20:30" x14ac:dyDescent="0.45">
      <c r="U667" s="10" t="s">
        <v>115</v>
      </c>
      <c r="V667" s="10" t="s">
        <v>212</v>
      </c>
      <c r="W667" s="10" t="s">
        <v>89</v>
      </c>
    </row>
    <row r="668" spans="20:30" x14ac:dyDescent="0.45">
      <c r="T668" s="73" t="s">
        <v>112</v>
      </c>
      <c r="U668" s="9">
        <v>1.5</v>
      </c>
      <c r="V668" s="9">
        <v>0.57140000000000002</v>
      </c>
      <c r="W668" s="10">
        <v>0.75</v>
      </c>
      <c r="AD668" s="1"/>
    </row>
    <row r="669" spans="20:30" x14ac:dyDescent="0.45">
      <c r="T669" s="73" t="s">
        <v>113</v>
      </c>
      <c r="U669" s="9">
        <v>-1.5</v>
      </c>
      <c r="V669" s="9">
        <v>-0.38569999999999999</v>
      </c>
      <c r="W669" s="10">
        <v>-0.72499999999999998</v>
      </c>
      <c r="AD669" s="1"/>
    </row>
    <row r="670" spans="20:30" x14ac:dyDescent="0.45">
      <c r="T670" s="9"/>
      <c r="U670" s="9"/>
      <c r="V670" s="9"/>
      <c r="AD670" s="1"/>
    </row>
    <row r="671" spans="20:30" x14ac:dyDescent="0.45">
      <c r="AD671" s="1"/>
    </row>
    <row r="672" spans="20:30" x14ac:dyDescent="0.45">
      <c r="AD672" s="1"/>
    </row>
    <row r="673" spans="19:30" x14ac:dyDescent="0.45">
      <c r="AD673" s="1"/>
    </row>
    <row r="674" spans="19:30" x14ac:dyDescent="0.45">
      <c r="AD674" s="1"/>
    </row>
    <row r="675" spans="19:30" x14ac:dyDescent="0.45">
      <c r="AD675" s="1"/>
    </row>
    <row r="676" spans="19:30" x14ac:dyDescent="0.45">
      <c r="T676" s="1"/>
      <c r="AD676" s="1"/>
    </row>
    <row r="677" spans="19:30" x14ac:dyDescent="0.45">
      <c r="AD677" s="1"/>
    </row>
    <row r="678" spans="19:30" x14ac:dyDescent="0.45">
      <c r="AD678" s="1"/>
    </row>
    <row r="679" spans="19:30" x14ac:dyDescent="0.45">
      <c r="AD679" s="1"/>
    </row>
    <row r="680" spans="19:30" x14ac:dyDescent="0.45">
      <c r="AD680" s="1"/>
    </row>
    <row r="681" spans="19:30" x14ac:dyDescent="0.45">
      <c r="AD681" s="1"/>
    </row>
    <row r="684" spans="19:30" x14ac:dyDescent="0.45">
      <c r="S684" s="9"/>
    </row>
    <row r="691" spans="20:30" x14ac:dyDescent="0.45">
      <c r="AA691" s="1"/>
      <c r="AB691" s="1"/>
      <c r="AC691" s="132"/>
    </row>
    <row r="692" spans="20:30" x14ac:dyDescent="0.45">
      <c r="AA692" s="1"/>
      <c r="AB692" s="1"/>
      <c r="AC692" s="132"/>
    </row>
    <row r="693" spans="20:30" x14ac:dyDescent="0.45">
      <c r="AA693" s="1"/>
      <c r="AB693" s="1"/>
      <c r="AC693" s="132"/>
    </row>
    <row r="694" spans="20:30" x14ac:dyDescent="0.45">
      <c r="AA694" s="1"/>
      <c r="AB694" s="1"/>
      <c r="AC694" s="132"/>
    </row>
    <row r="695" spans="20:30" ht="14.65" thickBot="1" x14ac:dyDescent="0.5">
      <c r="T695" s="9" t="s">
        <v>215</v>
      </c>
      <c r="U695" s="9"/>
      <c r="V695" s="9"/>
      <c r="W695" s="9"/>
      <c r="X695" s="9"/>
      <c r="Y695" s="9"/>
      <c r="Z695" s="9"/>
      <c r="AA695" s="1"/>
      <c r="AB695" s="1"/>
      <c r="AC695" s="132"/>
    </row>
    <row r="696" spans="20:30" x14ac:dyDescent="0.45">
      <c r="T696" s="4" t="s">
        <v>9</v>
      </c>
      <c r="U696" s="45">
        <v>1</v>
      </c>
      <c r="V696" s="45"/>
      <c r="W696" s="45">
        <v>1.4</v>
      </c>
      <c r="X696" s="45"/>
      <c r="Y696" s="45">
        <v>1.7</v>
      </c>
      <c r="Z696" s="156">
        <v>2.1</v>
      </c>
      <c r="AA696" s="1"/>
      <c r="AB696" s="1"/>
      <c r="AC696" s="132"/>
    </row>
    <row r="697" spans="20:30" ht="14.65" thickBot="1" x14ac:dyDescent="0.5">
      <c r="T697" s="7" t="s">
        <v>10</v>
      </c>
      <c r="U697" s="247">
        <v>0</v>
      </c>
      <c r="V697" s="247">
        <v>0.28999999999999998</v>
      </c>
      <c r="W697" s="247">
        <v>0.3</v>
      </c>
      <c r="X697" s="247">
        <v>0.69</v>
      </c>
      <c r="Y697" s="247">
        <v>0.7</v>
      </c>
      <c r="Z697" s="248">
        <v>1</v>
      </c>
      <c r="AA697" s="1"/>
      <c r="AB697" s="1"/>
      <c r="AC697" s="132"/>
    </row>
    <row r="698" spans="20:30" x14ac:dyDescent="0.45">
      <c r="AA698" s="1"/>
      <c r="AB698" s="1"/>
      <c r="AC698" s="132"/>
    </row>
    <row r="699" spans="20:30" x14ac:dyDescent="0.45">
      <c r="T699" s="138" t="s">
        <v>127</v>
      </c>
      <c r="U699" s="9" t="s">
        <v>210</v>
      </c>
      <c r="V699" s="9"/>
      <c r="AA699" s="1"/>
      <c r="AB699" s="1"/>
      <c r="AC699" s="132"/>
    </row>
    <row r="700" spans="20:30" x14ac:dyDescent="0.45">
      <c r="U700" s="10" t="s">
        <v>115</v>
      </c>
      <c r="V700" s="10" t="s">
        <v>212</v>
      </c>
      <c r="W700" s="10" t="s">
        <v>89</v>
      </c>
      <c r="AA700" s="1"/>
      <c r="AB700" s="1"/>
      <c r="AC700" s="132"/>
    </row>
    <row r="701" spans="20:30" x14ac:dyDescent="0.45">
      <c r="T701" s="72" t="s">
        <v>112</v>
      </c>
      <c r="U701" s="9">
        <v>0.75</v>
      </c>
      <c r="V701" s="9">
        <v>1.3332999999999999</v>
      </c>
      <c r="W701" s="10">
        <v>0.75</v>
      </c>
      <c r="AA701" s="1"/>
      <c r="AB701" s="1"/>
      <c r="AC701" s="132"/>
      <c r="AD701" s="1"/>
    </row>
    <row r="702" spans="20:30" x14ac:dyDescent="0.45">
      <c r="T702" s="72" t="s">
        <v>113</v>
      </c>
      <c r="U702" s="9">
        <v>-0.75</v>
      </c>
      <c r="V702" s="9">
        <v>-1.5667</v>
      </c>
      <c r="W702" s="10">
        <v>-0.57499999999999996</v>
      </c>
      <c r="AA702" s="1"/>
      <c r="AB702" s="1"/>
      <c r="AC702" s="132"/>
      <c r="AD702" s="1"/>
    </row>
    <row r="703" spans="20:30" x14ac:dyDescent="0.45">
      <c r="T703" s="73"/>
      <c r="U703" s="9"/>
      <c r="V703" s="9"/>
      <c r="AA703" s="1"/>
      <c r="AB703" s="1"/>
      <c r="AC703" s="132"/>
      <c r="AD703" s="1"/>
    </row>
    <row r="704" spans="20:30" x14ac:dyDescent="0.45">
      <c r="T704" s="9"/>
      <c r="U704" s="9"/>
      <c r="V704" s="39"/>
      <c r="AA704" s="1"/>
      <c r="AB704" s="1"/>
      <c r="AC704" s="132"/>
      <c r="AD704" s="1"/>
    </row>
    <row r="705" spans="20:30" x14ac:dyDescent="0.45">
      <c r="T705" s="9"/>
      <c r="U705" s="9"/>
      <c r="V705" s="9"/>
      <c r="AD705" s="1"/>
    </row>
    <row r="706" spans="20:30" x14ac:dyDescent="0.45">
      <c r="T706" s="9"/>
      <c r="U706" s="9"/>
      <c r="V706" s="9"/>
      <c r="AD706" s="1"/>
    </row>
    <row r="707" spans="20:30" x14ac:dyDescent="0.45">
      <c r="AD707" s="1"/>
    </row>
    <row r="708" spans="20:30" x14ac:dyDescent="0.45">
      <c r="AD708" s="1"/>
    </row>
    <row r="709" spans="20:30" x14ac:dyDescent="0.45">
      <c r="AD709" s="1"/>
    </row>
    <row r="710" spans="20:30" x14ac:dyDescent="0.45">
      <c r="AD710" s="1"/>
    </row>
    <row r="711" spans="20:30" x14ac:dyDescent="0.45">
      <c r="AD711" s="1"/>
    </row>
    <row r="712" spans="20:30" x14ac:dyDescent="0.45">
      <c r="AD712" s="1"/>
    </row>
    <row r="713" spans="20:30" x14ac:dyDescent="0.45">
      <c r="AD713" s="1"/>
    </row>
    <row r="714" spans="20:30" x14ac:dyDescent="0.45">
      <c r="AD714" s="1"/>
    </row>
    <row r="716" spans="20:30" x14ac:dyDescent="0.45">
      <c r="U716" s="1"/>
      <c r="V716" s="1"/>
      <c r="W716" s="1"/>
      <c r="X716" s="1"/>
      <c r="Y716" s="1"/>
      <c r="Z716" s="1"/>
    </row>
    <row r="717" spans="20:30" x14ac:dyDescent="0.45">
      <c r="U717" s="1"/>
      <c r="V717" s="1"/>
      <c r="W717" s="1"/>
      <c r="X717" s="1"/>
      <c r="Y717" s="1"/>
      <c r="Z717" s="1"/>
    </row>
    <row r="718" spans="20:30" x14ac:dyDescent="0.45">
      <c r="U718" s="2"/>
      <c r="V718" s="2"/>
      <c r="W718" s="2"/>
      <c r="X718" s="2"/>
      <c r="Y718" s="2"/>
      <c r="Z718" s="2"/>
    </row>
    <row r="719" spans="20:30" x14ac:dyDescent="0.45">
      <c r="U719" s="2"/>
      <c r="V719" s="2"/>
      <c r="W719" s="2"/>
      <c r="X719" s="2"/>
      <c r="Y719" s="2"/>
      <c r="Z719" s="2"/>
    </row>
    <row r="720" spans="20:30" x14ac:dyDescent="0.45">
      <c r="U720" s="1"/>
      <c r="V720" s="1"/>
      <c r="W720" s="1"/>
      <c r="X720" s="1"/>
      <c r="Y720" s="1"/>
      <c r="Z720" s="1"/>
    </row>
    <row r="721" spans="19:29" x14ac:dyDescent="0.45">
      <c r="U721" s="1"/>
      <c r="V721" s="1"/>
      <c r="W721" s="1"/>
      <c r="X721" s="1"/>
      <c r="Y721" s="1"/>
      <c r="Z721" s="1"/>
    </row>
    <row r="722" spans="19:29" x14ac:dyDescent="0.45">
      <c r="U722" s="1"/>
      <c r="V722" s="1"/>
      <c r="W722" s="1"/>
      <c r="X722" s="1"/>
      <c r="Y722" s="1"/>
      <c r="Z722" s="1"/>
    </row>
    <row r="723" spans="19:29" x14ac:dyDescent="0.45">
      <c r="U723" s="1"/>
      <c r="V723" s="1"/>
      <c r="W723" s="1"/>
      <c r="X723" s="1"/>
      <c r="Y723" s="1"/>
      <c r="Z723" s="1"/>
    </row>
    <row r="724" spans="19:29" x14ac:dyDescent="0.45">
      <c r="U724" s="2"/>
      <c r="V724" s="2"/>
      <c r="W724" s="2"/>
      <c r="X724" s="2"/>
      <c r="Y724" s="2"/>
      <c r="Z724" s="2"/>
      <c r="AA724" s="1"/>
      <c r="AB724" s="1"/>
      <c r="AC724" s="132"/>
    </row>
    <row r="725" spans="19:29" x14ac:dyDescent="0.45">
      <c r="U725" s="2"/>
      <c r="V725" s="2"/>
      <c r="W725" s="2"/>
      <c r="X725" s="2"/>
      <c r="Y725" s="2"/>
      <c r="Z725" s="2"/>
      <c r="AA725" s="1"/>
      <c r="AB725" s="1"/>
      <c r="AC725" s="132"/>
    </row>
    <row r="726" spans="19:29" x14ac:dyDescent="0.45">
      <c r="U726" s="1"/>
      <c r="V726" s="1"/>
      <c r="W726" s="1"/>
      <c r="X726" s="1"/>
      <c r="Y726" s="1"/>
      <c r="Z726" s="1"/>
      <c r="AA726" s="1"/>
      <c r="AB726" s="1"/>
      <c r="AC726" s="132"/>
    </row>
    <row r="727" spans="19:29" x14ac:dyDescent="0.45">
      <c r="AA727" s="1"/>
      <c r="AB727" s="1"/>
      <c r="AC727" s="132"/>
    </row>
    <row r="728" spans="19:29" ht="14.65" thickBot="1" x14ac:dyDescent="0.5">
      <c r="T728" s="9" t="s">
        <v>258</v>
      </c>
      <c r="U728" s="9"/>
      <c r="V728" s="9"/>
      <c r="W728" s="9"/>
      <c r="X728" s="9"/>
      <c r="Y728" s="9"/>
      <c r="Z728" s="9"/>
      <c r="AA728" s="1"/>
      <c r="AB728" s="1"/>
      <c r="AC728" s="132"/>
    </row>
    <row r="729" spans="19:29" x14ac:dyDescent="0.45">
      <c r="T729" s="587" t="s">
        <v>9</v>
      </c>
      <c r="U729" s="49">
        <v>0</v>
      </c>
      <c r="V729" s="49"/>
      <c r="W729" s="49"/>
      <c r="X729" s="239"/>
      <c r="Y729" s="49"/>
      <c r="Z729" s="240">
        <v>54</v>
      </c>
      <c r="AA729" s="1"/>
      <c r="AB729" s="1"/>
      <c r="AC729" s="132"/>
    </row>
    <row r="730" spans="19:29" x14ac:dyDescent="0.45">
      <c r="T730" s="588"/>
      <c r="U730" s="61">
        <v>100</v>
      </c>
      <c r="V730" s="61"/>
      <c r="W730" s="61"/>
      <c r="X730" s="61"/>
      <c r="Y730" s="61"/>
      <c r="Z730" s="241">
        <v>62</v>
      </c>
      <c r="AA730" s="1"/>
      <c r="AB730" s="1"/>
      <c r="AC730" s="132"/>
    </row>
    <row r="731" spans="19:29" ht="14.65" thickBot="1" x14ac:dyDescent="0.5">
      <c r="T731" s="7" t="s">
        <v>10</v>
      </c>
      <c r="U731" s="247">
        <v>0</v>
      </c>
      <c r="V731" s="247">
        <v>0.28999999999999998</v>
      </c>
      <c r="W731" s="247">
        <v>0.3</v>
      </c>
      <c r="X731" s="247">
        <v>0.69</v>
      </c>
      <c r="Y731" s="247">
        <v>0.7</v>
      </c>
      <c r="Z731" s="248">
        <v>1</v>
      </c>
      <c r="AA731" s="1"/>
      <c r="AB731" s="1"/>
      <c r="AC731" s="132"/>
    </row>
    <row r="732" spans="19:29" x14ac:dyDescent="0.45">
      <c r="AA732" s="1"/>
      <c r="AB732" s="1"/>
      <c r="AC732" s="132"/>
    </row>
    <row r="733" spans="19:29" x14ac:dyDescent="0.45">
      <c r="S733" s="1"/>
      <c r="T733" s="48" t="s">
        <v>126</v>
      </c>
      <c r="V733" s="48"/>
      <c r="AA733" s="1"/>
      <c r="AB733" s="1"/>
      <c r="AC733" s="132"/>
    </row>
    <row r="734" spans="19:29" x14ac:dyDescent="0.45">
      <c r="S734" s="1"/>
      <c r="U734" s="9" t="s">
        <v>259</v>
      </c>
      <c r="V734" s="9" t="s">
        <v>260</v>
      </c>
      <c r="AA734" s="1"/>
      <c r="AB734" s="1"/>
      <c r="AC734" s="132"/>
    </row>
    <row r="735" spans="19:29" x14ac:dyDescent="0.45">
      <c r="S735" s="1"/>
      <c r="T735" s="129" t="s">
        <v>112</v>
      </c>
      <c r="U735" s="9">
        <v>1.8519000000000001E-2</v>
      </c>
      <c r="V735" s="9">
        <v>-2.6315999999999999E-2</v>
      </c>
      <c r="AA735" s="1"/>
      <c r="AB735" s="1"/>
      <c r="AC735" s="132"/>
    </row>
    <row r="736" spans="19:29" x14ac:dyDescent="0.45">
      <c r="S736" s="1"/>
      <c r="T736" s="129" t="s">
        <v>113</v>
      </c>
      <c r="U736" s="9"/>
      <c r="V736" s="9">
        <v>2.6315789999999999</v>
      </c>
      <c r="AA736" s="1"/>
      <c r="AB736" s="1"/>
      <c r="AC736" s="132"/>
    </row>
    <row r="737" spans="19:29" x14ac:dyDescent="0.45">
      <c r="S737" s="1"/>
      <c r="T737" s="129"/>
      <c r="U737" s="129"/>
      <c r="V737" s="129"/>
      <c r="AA737" s="1"/>
      <c r="AB737" s="1"/>
      <c r="AC737" s="132"/>
    </row>
    <row r="738" spans="19:29" x14ac:dyDescent="0.45">
      <c r="S738" s="1"/>
      <c r="T738" s="9"/>
      <c r="U738" s="9"/>
      <c r="V738" s="9"/>
      <c r="X738" s="9"/>
      <c r="Y738" s="9"/>
      <c r="Z738" s="9"/>
    </row>
    <row r="739" spans="19:29" x14ac:dyDescent="0.45">
      <c r="S739" s="1"/>
      <c r="X739" s="9"/>
      <c r="Y739" s="9"/>
      <c r="Z739" s="9"/>
    </row>
    <row r="740" spans="19:29" x14ac:dyDescent="0.45">
      <c r="S740" s="1"/>
      <c r="X740" s="9"/>
      <c r="Y740" s="9"/>
      <c r="Z740" s="9"/>
    </row>
    <row r="741" spans="19:29" x14ac:dyDescent="0.45">
      <c r="S741" s="1"/>
      <c r="X741" s="9"/>
      <c r="Y741" s="9"/>
      <c r="Z741" s="9"/>
    </row>
    <row r="742" spans="19:29" x14ac:dyDescent="0.45">
      <c r="S742" s="1"/>
      <c r="X742" s="9"/>
      <c r="Y742" s="9"/>
      <c r="Z742" s="9"/>
    </row>
    <row r="743" spans="19:29" x14ac:dyDescent="0.45">
      <c r="S743" s="2"/>
      <c r="X743" s="9"/>
      <c r="Y743" s="9"/>
      <c r="Z743" s="9"/>
    </row>
    <row r="744" spans="19:29" x14ac:dyDescent="0.45">
      <c r="S744" s="2"/>
      <c r="X744" s="9"/>
      <c r="Y744" s="9"/>
      <c r="Z744" s="9"/>
    </row>
    <row r="745" spans="19:29" x14ac:dyDescent="0.45">
      <c r="S745" s="1"/>
    </row>
    <row r="746" spans="19:29" x14ac:dyDescent="0.45">
      <c r="S746" s="1"/>
    </row>
    <row r="747" spans="19:29" x14ac:dyDescent="0.45">
      <c r="S747" s="1"/>
    </row>
    <row r="749" spans="19:29" x14ac:dyDescent="0.45">
      <c r="S749" s="1"/>
    </row>
    <row r="753" spans="19:30" x14ac:dyDescent="0.45">
      <c r="S753" s="9"/>
    </row>
    <row r="762" spans="19:30" ht="14.65" thickBot="1" x14ac:dyDescent="0.5">
      <c r="T762" s="9" t="s">
        <v>216</v>
      </c>
      <c r="U762" s="9"/>
      <c r="V762" s="9"/>
      <c r="W762" s="9"/>
      <c r="X762" s="9"/>
      <c r="Y762" s="9"/>
      <c r="Z762" s="9"/>
    </row>
    <row r="763" spans="19:30" x14ac:dyDescent="0.45">
      <c r="T763" s="587" t="s">
        <v>9</v>
      </c>
      <c r="U763" s="49">
        <v>0</v>
      </c>
      <c r="V763" s="5"/>
      <c r="W763" s="5"/>
      <c r="X763" s="16"/>
      <c r="Y763" s="5"/>
      <c r="Z763" s="6">
        <v>53</v>
      </c>
      <c r="AD763" s="1"/>
    </row>
    <row r="764" spans="19:30" x14ac:dyDescent="0.45">
      <c r="T764" s="588"/>
      <c r="U764" s="61">
        <v>100</v>
      </c>
      <c r="V764" s="19"/>
      <c r="W764" s="19"/>
      <c r="X764" s="19"/>
      <c r="Y764" s="19"/>
      <c r="Z764" s="20">
        <v>61</v>
      </c>
      <c r="AD764" s="1"/>
    </row>
    <row r="765" spans="19:30" ht="14.65" thickBot="1" x14ac:dyDescent="0.5">
      <c r="T765" s="7" t="s">
        <v>10</v>
      </c>
      <c r="U765" s="247">
        <v>0</v>
      </c>
      <c r="V765" s="247">
        <v>0.28999999999999998</v>
      </c>
      <c r="W765" s="247">
        <v>0.3</v>
      </c>
      <c r="X765" s="247">
        <v>0.69</v>
      </c>
      <c r="Y765" s="247">
        <v>0.7</v>
      </c>
      <c r="Z765" s="248">
        <v>1</v>
      </c>
      <c r="AD765" s="1"/>
    </row>
    <row r="766" spans="19:30" x14ac:dyDescent="0.45">
      <c r="AD766" s="1"/>
    </row>
    <row r="767" spans="19:30" x14ac:dyDescent="0.45">
      <c r="T767" s="48" t="s">
        <v>126</v>
      </c>
      <c r="V767" s="48"/>
      <c r="AD767" s="1"/>
    </row>
    <row r="768" spans="19:30" x14ac:dyDescent="0.45">
      <c r="U768" s="9" t="s">
        <v>224</v>
      </c>
      <c r="V768" s="9" t="s">
        <v>223</v>
      </c>
      <c r="AD768" s="1"/>
    </row>
    <row r="769" spans="20:30" x14ac:dyDescent="0.45">
      <c r="T769" s="129" t="s">
        <v>112</v>
      </c>
      <c r="U769" s="9">
        <v>1.8867999999999999E-2</v>
      </c>
      <c r="V769" s="9">
        <v>-2.5641000000000001E-2</v>
      </c>
      <c r="AD769" s="1"/>
    </row>
    <row r="770" spans="20:30" x14ac:dyDescent="0.45">
      <c r="T770" s="129" t="s">
        <v>113</v>
      </c>
      <c r="U770" s="9"/>
      <c r="V770" s="9">
        <v>2.5641029999999998</v>
      </c>
      <c r="AD770" s="1"/>
    </row>
    <row r="771" spans="20:30" x14ac:dyDescent="0.45">
      <c r="T771" s="60"/>
      <c r="U771" s="129"/>
      <c r="V771" s="129"/>
      <c r="AD771" s="1"/>
    </row>
    <row r="772" spans="20:30" x14ac:dyDescent="0.45">
      <c r="T772" s="9"/>
      <c r="U772" s="9"/>
      <c r="V772" s="9"/>
      <c r="X772" s="9"/>
      <c r="Y772" s="9"/>
      <c r="Z772" s="9"/>
      <c r="AD772" s="1"/>
    </row>
    <row r="773" spans="20:30" x14ac:dyDescent="0.45">
      <c r="X773" s="9"/>
      <c r="Y773" s="9"/>
      <c r="Z773" s="9"/>
      <c r="AD773" s="1"/>
    </row>
    <row r="774" spans="20:30" x14ac:dyDescent="0.45">
      <c r="X774" s="9"/>
      <c r="Y774" s="9"/>
      <c r="Z774" s="9"/>
      <c r="AD774" s="1"/>
    </row>
    <row r="775" spans="20:30" x14ac:dyDescent="0.45">
      <c r="X775" s="9"/>
      <c r="Y775" s="9"/>
      <c r="Z775" s="9"/>
      <c r="AD775" s="1"/>
    </row>
    <row r="776" spans="20:30" x14ac:dyDescent="0.45">
      <c r="X776" s="9"/>
      <c r="Y776" s="9"/>
      <c r="Z776" s="9"/>
      <c r="AD776" s="1"/>
    </row>
    <row r="777" spans="20:30" x14ac:dyDescent="0.45">
      <c r="X777" s="9"/>
      <c r="Y777" s="9"/>
      <c r="Z777" s="9"/>
    </row>
    <row r="778" spans="20:30" x14ac:dyDescent="0.45">
      <c r="X778" s="9"/>
      <c r="Y778" s="9"/>
      <c r="Z778" s="9"/>
    </row>
    <row r="786" spans="20:30" x14ac:dyDescent="0.45">
      <c r="AA786" s="1"/>
      <c r="AB786" s="1"/>
      <c r="AC786" s="132"/>
    </row>
    <row r="787" spans="20:30" x14ac:dyDescent="0.45">
      <c r="AA787" s="1"/>
      <c r="AB787" s="1"/>
      <c r="AC787" s="132"/>
    </row>
    <row r="788" spans="20:30" x14ac:dyDescent="0.45">
      <c r="AA788" s="1"/>
      <c r="AB788" s="1"/>
      <c r="AC788" s="132"/>
    </row>
    <row r="789" spans="20:30" x14ac:dyDescent="0.45">
      <c r="AA789" s="1"/>
      <c r="AB789" s="1"/>
      <c r="AC789" s="132"/>
    </row>
    <row r="790" spans="20:30" x14ac:dyDescent="0.45">
      <c r="AA790" s="1"/>
      <c r="AB790" s="1"/>
      <c r="AC790" s="132"/>
    </row>
    <row r="791" spans="20:30" x14ac:dyDescent="0.45">
      <c r="AA791" s="1"/>
      <c r="AB791" s="1"/>
      <c r="AC791" s="132"/>
    </row>
    <row r="792" spans="20:30" x14ac:dyDescent="0.45">
      <c r="AA792" s="1"/>
      <c r="AB792" s="1"/>
      <c r="AC792" s="132"/>
    </row>
    <row r="793" spans="20:30" x14ac:dyDescent="0.45">
      <c r="AA793" s="1"/>
      <c r="AB793" s="1"/>
      <c r="AC793" s="132"/>
      <c r="AD793" s="1"/>
    </row>
    <row r="794" spans="20:30" x14ac:dyDescent="0.45">
      <c r="AA794" s="1"/>
      <c r="AB794" s="1"/>
      <c r="AC794" s="132"/>
      <c r="AD794" s="1"/>
    </row>
    <row r="795" spans="20:30" x14ac:dyDescent="0.45">
      <c r="AA795" s="1"/>
      <c r="AB795" s="1"/>
      <c r="AC795" s="132"/>
      <c r="AD795" s="1"/>
    </row>
    <row r="796" spans="20:30" x14ac:dyDescent="0.45">
      <c r="T796" s="9"/>
      <c r="U796" s="9"/>
      <c r="V796" s="9"/>
      <c r="W796" s="9"/>
      <c r="X796" s="9"/>
      <c r="Y796" s="9"/>
      <c r="Z796" s="9"/>
      <c r="AA796" s="1"/>
      <c r="AB796" s="1"/>
      <c r="AC796" s="132"/>
      <c r="AD796" s="1"/>
    </row>
    <row r="797" spans="20:30" ht="14.65" thickBot="1" x14ac:dyDescent="0.5">
      <c r="T797" s="9" t="s">
        <v>218</v>
      </c>
      <c r="U797" s="9"/>
      <c r="V797" s="9"/>
      <c r="W797" s="9"/>
      <c r="X797" s="9"/>
      <c r="Y797" s="9"/>
      <c r="Z797" s="9"/>
      <c r="AA797" s="1"/>
      <c r="AB797" s="1"/>
      <c r="AC797" s="132"/>
      <c r="AD797" s="1"/>
    </row>
    <row r="798" spans="20:30" x14ac:dyDescent="0.45">
      <c r="T798" s="587" t="s">
        <v>9</v>
      </c>
      <c r="U798" s="49">
        <v>0</v>
      </c>
      <c r="V798" s="5"/>
      <c r="W798" s="5"/>
      <c r="X798" s="5"/>
      <c r="Y798" s="5"/>
      <c r="Z798" s="6">
        <v>45</v>
      </c>
      <c r="AA798" s="1"/>
      <c r="AB798" s="1"/>
      <c r="AC798" s="132"/>
      <c r="AD798" s="1"/>
    </row>
    <row r="799" spans="20:30" x14ac:dyDescent="0.45">
      <c r="T799" s="588"/>
      <c r="U799" s="61">
        <v>100</v>
      </c>
      <c r="V799" s="19"/>
      <c r="W799" s="19"/>
      <c r="X799" s="19"/>
      <c r="Y799" s="19"/>
      <c r="Z799" s="20">
        <v>65</v>
      </c>
      <c r="AA799" s="1"/>
      <c r="AB799" s="1"/>
      <c r="AC799" s="132"/>
      <c r="AD799" s="1"/>
    </row>
    <row r="800" spans="20:30" ht="14.65" thickBot="1" x14ac:dyDescent="0.5">
      <c r="T800" s="7" t="s">
        <v>10</v>
      </c>
      <c r="U800" s="247">
        <v>0</v>
      </c>
      <c r="V800" s="247">
        <v>0.28999999999999998</v>
      </c>
      <c r="W800" s="247">
        <v>0.3</v>
      </c>
      <c r="X800" s="247">
        <v>0.69</v>
      </c>
      <c r="Y800" s="247">
        <v>0.7</v>
      </c>
      <c r="Z800" s="248">
        <v>1</v>
      </c>
      <c r="AD800" s="1"/>
    </row>
    <row r="801" spans="20:30" x14ac:dyDescent="0.45">
      <c r="AD801" s="1"/>
    </row>
    <row r="802" spans="20:30" x14ac:dyDescent="0.45">
      <c r="T802" s="48" t="s">
        <v>126</v>
      </c>
      <c r="V802" s="48"/>
      <c r="AD802" s="1"/>
    </row>
    <row r="803" spans="20:30" x14ac:dyDescent="0.45">
      <c r="U803" s="9" t="s">
        <v>221</v>
      </c>
      <c r="V803" s="9" t="s">
        <v>222</v>
      </c>
      <c r="AD803" s="1"/>
    </row>
    <row r="804" spans="20:30" x14ac:dyDescent="0.45">
      <c r="T804" s="60" t="s">
        <v>112</v>
      </c>
      <c r="U804" s="9">
        <v>2.2700000000000001E-2</v>
      </c>
      <c r="V804" s="9">
        <v>-2.86E-2</v>
      </c>
      <c r="AD804" s="1"/>
    </row>
    <row r="805" spans="20:30" x14ac:dyDescent="0.45">
      <c r="T805" s="60" t="s">
        <v>113</v>
      </c>
      <c r="U805" s="9">
        <v>-2.2700000000000001E-2</v>
      </c>
      <c r="V805" s="9">
        <v>2.8571</v>
      </c>
      <c r="AD805" s="1"/>
    </row>
    <row r="806" spans="20:30" x14ac:dyDescent="0.45">
      <c r="T806" s="9"/>
      <c r="U806" s="9"/>
      <c r="V806" s="39"/>
      <c r="AD806" s="1"/>
    </row>
    <row r="807" spans="20:30" x14ac:dyDescent="0.45">
      <c r="T807" s="9"/>
      <c r="U807" s="9"/>
      <c r="V807" s="9"/>
      <c r="X807" s="9"/>
      <c r="Y807" s="9"/>
      <c r="Z807" s="9"/>
    </row>
    <row r="808" spans="20:30" x14ac:dyDescent="0.45">
      <c r="X808" s="9"/>
      <c r="Y808" s="9"/>
      <c r="Z808" s="9"/>
    </row>
    <row r="809" spans="20:30" x14ac:dyDescent="0.45">
      <c r="X809" s="9"/>
      <c r="Y809" s="9"/>
      <c r="Z809" s="9"/>
    </row>
    <row r="810" spans="20:30" x14ac:dyDescent="0.45">
      <c r="X810" s="9"/>
      <c r="Y810" s="9"/>
      <c r="Z810" s="9"/>
    </row>
    <row r="811" spans="20:30" x14ac:dyDescent="0.45">
      <c r="X811" s="9"/>
      <c r="Y811" s="9"/>
      <c r="Z811" s="9"/>
    </row>
    <row r="812" spans="20:30" x14ac:dyDescent="0.45">
      <c r="X812" s="9"/>
      <c r="Y812" s="9"/>
      <c r="Z812" s="9"/>
    </row>
    <row r="813" spans="20:30" x14ac:dyDescent="0.45">
      <c r="X813" s="9"/>
      <c r="Y813" s="9"/>
      <c r="Z813" s="9"/>
    </row>
    <row r="816" spans="20:30" x14ac:dyDescent="0.45">
      <c r="AA816" s="1"/>
      <c r="AB816" s="1"/>
      <c r="AC816" s="132"/>
    </row>
    <row r="817" spans="20:29" x14ac:dyDescent="0.45">
      <c r="AA817" s="1"/>
      <c r="AB817" s="1"/>
      <c r="AC817" s="132"/>
    </row>
    <row r="818" spans="20:29" x14ac:dyDescent="0.45">
      <c r="AA818" s="1"/>
      <c r="AB818" s="1"/>
      <c r="AC818" s="132"/>
    </row>
    <row r="819" spans="20:29" x14ac:dyDescent="0.45">
      <c r="AA819" s="1"/>
      <c r="AB819" s="1"/>
      <c r="AC819" s="132"/>
    </row>
    <row r="820" spans="20:29" x14ac:dyDescent="0.45">
      <c r="AA820" s="1"/>
      <c r="AB820" s="1"/>
      <c r="AC820" s="132"/>
    </row>
    <row r="821" spans="20:29" x14ac:dyDescent="0.45">
      <c r="AA821" s="1"/>
      <c r="AB821" s="1"/>
      <c r="AC821" s="132"/>
    </row>
    <row r="822" spans="20:29" x14ac:dyDescent="0.45">
      <c r="AA822" s="1"/>
      <c r="AB822" s="1"/>
      <c r="AC822" s="132"/>
    </row>
    <row r="823" spans="20:29" x14ac:dyDescent="0.45">
      <c r="AA823" s="1"/>
      <c r="AB823" s="1"/>
      <c r="AC823" s="132"/>
    </row>
    <row r="824" spans="20:29" x14ac:dyDescent="0.45">
      <c r="AA824" s="1"/>
      <c r="AB824" s="1"/>
      <c r="AC824" s="132"/>
    </row>
    <row r="825" spans="20:29" x14ac:dyDescent="0.45">
      <c r="AA825" s="1"/>
      <c r="AB825" s="1"/>
      <c r="AC825" s="132"/>
    </row>
    <row r="826" spans="20:29" x14ac:dyDescent="0.45">
      <c r="AA826" s="1"/>
      <c r="AB826" s="1"/>
      <c r="AC826" s="132"/>
    </row>
    <row r="827" spans="20:29" x14ac:dyDescent="0.45">
      <c r="AA827" s="1"/>
      <c r="AB827" s="1"/>
      <c r="AC827" s="132"/>
    </row>
    <row r="828" spans="20:29" x14ac:dyDescent="0.45">
      <c r="AA828" s="1"/>
      <c r="AB828" s="1"/>
      <c r="AC828" s="132"/>
    </row>
    <row r="829" spans="20:29" x14ac:dyDescent="0.45">
      <c r="AA829" s="1"/>
      <c r="AB829" s="1"/>
      <c r="AC829" s="132"/>
    </row>
    <row r="831" spans="20:29" ht="14.65" thickBot="1" x14ac:dyDescent="0.5">
      <c r="T831" s="9" t="s">
        <v>217</v>
      </c>
      <c r="U831" s="9"/>
      <c r="V831" s="9"/>
      <c r="W831" s="9"/>
      <c r="X831" s="9"/>
      <c r="Y831" s="9"/>
      <c r="Z831" s="9"/>
    </row>
    <row r="832" spans="20:29" x14ac:dyDescent="0.45">
      <c r="T832" s="587" t="s">
        <v>9</v>
      </c>
      <c r="U832" s="101">
        <v>0</v>
      </c>
      <c r="V832" s="5"/>
      <c r="W832" s="5"/>
      <c r="X832" s="16"/>
      <c r="Y832" s="5"/>
      <c r="Z832" s="6">
        <v>43</v>
      </c>
    </row>
    <row r="833" spans="20:26" x14ac:dyDescent="0.45">
      <c r="T833" s="588"/>
      <c r="U833" s="62">
        <v>100</v>
      </c>
      <c r="V833" s="19"/>
      <c r="W833" s="19"/>
      <c r="X833" s="2"/>
      <c r="Y833" s="19"/>
      <c r="Z833" s="20">
        <v>63</v>
      </c>
    </row>
    <row r="834" spans="20:26" ht="14.65" thickBot="1" x14ac:dyDescent="0.5">
      <c r="T834" s="7" t="s">
        <v>10</v>
      </c>
      <c r="U834" s="247">
        <v>0</v>
      </c>
      <c r="V834" s="247">
        <v>0.28999999999999998</v>
      </c>
      <c r="W834" s="247">
        <v>0.3</v>
      </c>
      <c r="X834" s="247">
        <v>0.69</v>
      </c>
      <c r="Y834" s="247">
        <v>0.7</v>
      </c>
      <c r="Z834" s="248">
        <v>1</v>
      </c>
    </row>
    <row r="836" spans="20:26" x14ac:dyDescent="0.45">
      <c r="T836" s="48" t="s">
        <v>126</v>
      </c>
      <c r="U836" s="48"/>
    </row>
    <row r="837" spans="20:26" x14ac:dyDescent="0.45">
      <c r="T837" s="54" t="s">
        <v>112</v>
      </c>
      <c r="U837" s="9" t="s">
        <v>219</v>
      </c>
      <c r="V837" s="9" t="s">
        <v>220</v>
      </c>
    </row>
    <row r="838" spans="20:26" x14ac:dyDescent="0.45">
      <c r="T838" s="73" t="s">
        <v>112</v>
      </c>
      <c r="U838" s="9">
        <v>2.3300000000000001E-2</v>
      </c>
      <c r="V838" s="9">
        <v>-2.7E-2</v>
      </c>
    </row>
    <row r="839" spans="20:26" x14ac:dyDescent="0.45">
      <c r="T839" s="73" t="s">
        <v>113</v>
      </c>
      <c r="U839" s="9">
        <v>0</v>
      </c>
      <c r="V839" s="9">
        <v>2.7027000000000001</v>
      </c>
    </row>
    <row r="840" spans="20:26" x14ac:dyDescent="0.45">
      <c r="T840" s="9"/>
      <c r="U840" s="9"/>
      <c r="V840" s="39"/>
      <c r="W840" s="12"/>
    </row>
    <row r="841" spans="20:26" x14ac:dyDescent="0.45">
      <c r="T841" s="9"/>
      <c r="U841" s="9"/>
      <c r="V841" s="39"/>
    </row>
    <row r="864" spans="21:26" x14ac:dyDescent="0.45">
      <c r="U864" s="1"/>
      <c r="V864" s="1"/>
      <c r="W864" s="1"/>
      <c r="X864" s="1"/>
      <c r="Y864" s="1"/>
      <c r="Z864" s="1"/>
    </row>
    <row r="865" spans="21:26" x14ac:dyDescent="0.45">
      <c r="U865" s="1"/>
      <c r="V865" s="1"/>
      <c r="W865" s="1"/>
      <c r="X865" s="1"/>
      <c r="Y865" s="1"/>
      <c r="Z865" s="1"/>
    </row>
    <row r="866" spans="21:26" x14ac:dyDescent="0.45">
      <c r="U866" s="1"/>
      <c r="V866" s="1"/>
      <c r="W866" s="1"/>
      <c r="X866" s="1"/>
      <c r="Y866" s="1"/>
      <c r="Z866" s="1"/>
    </row>
    <row r="867" spans="21:26" x14ac:dyDescent="0.45">
      <c r="U867" s="1"/>
      <c r="V867" s="1"/>
      <c r="W867" s="1"/>
      <c r="X867" s="1"/>
      <c r="Y867" s="1"/>
      <c r="Z867" s="1"/>
    </row>
    <row r="868" spans="21:26" x14ac:dyDescent="0.45">
      <c r="U868" s="1"/>
      <c r="V868" s="1"/>
      <c r="W868" s="1"/>
      <c r="X868" s="1"/>
      <c r="Y868" s="1"/>
      <c r="Z868" s="1"/>
    </row>
    <row r="869" spans="21:26" x14ac:dyDescent="0.45">
      <c r="U869" s="1"/>
      <c r="V869" s="1"/>
      <c r="W869" s="1"/>
      <c r="X869" s="1"/>
      <c r="Y869" s="1"/>
      <c r="Z869" s="1"/>
    </row>
    <row r="870" spans="21:26" x14ac:dyDescent="0.45">
      <c r="U870" s="1"/>
      <c r="V870" s="1"/>
      <c r="W870" s="1"/>
      <c r="X870" s="1"/>
      <c r="Y870" s="1"/>
      <c r="Z870" s="1"/>
    </row>
    <row r="871" spans="21:26" x14ac:dyDescent="0.45">
      <c r="U871" s="1"/>
      <c r="V871" s="1"/>
      <c r="W871" s="1"/>
      <c r="X871" s="1"/>
      <c r="Y871" s="1"/>
      <c r="Z871" s="1"/>
    </row>
    <row r="872" spans="21:26" x14ac:dyDescent="0.45">
      <c r="U872" s="1"/>
      <c r="V872" s="1"/>
      <c r="W872" s="1"/>
      <c r="X872" s="1"/>
      <c r="Y872" s="1"/>
      <c r="Z872" s="1"/>
    </row>
    <row r="873" spans="21:26" x14ac:dyDescent="0.45">
      <c r="U873" s="1"/>
      <c r="V873" s="1"/>
      <c r="W873" s="1"/>
      <c r="X873" s="1"/>
      <c r="Y873" s="1"/>
      <c r="Z873" s="1"/>
    </row>
    <row r="874" spans="21:26" x14ac:dyDescent="0.45">
      <c r="U874" s="1"/>
      <c r="V874" s="1"/>
      <c r="W874" s="1"/>
      <c r="X874" s="1"/>
      <c r="Y874" s="1"/>
      <c r="Z874" s="1"/>
    </row>
    <row r="889" spans="20:26" x14ac:dyDescent="0.45">
      <c r="T889" s="9"/>
      <c r="U889" s="48"/>
      <c r="V889" s="81"/>
      <c r="W889" s="81"/>
    </row>
    <row r="890" spans="20:26" x14ac:dyDescent="0.45">
      <c r="T890" s="60"/>
      <c r="U890" s="9"/>
      <c r="V890" s="9"/>
    </row>
    <row r="891" spans="20:26" x14ac:dyDescent="0.45">
      <c r="T891" s="60"/>
      <c r="U891" s="9"/>
      <c r="V891" s="9"/>
    </row>
    <row r="892" spans="20:26" x14ac:dyDescent="0.45">
      <c r="T892" s="65"/>
      <c r="U892" s="9"/>
      <c r="V892" s="39"/>
    </row>
    <row r="893" spans="20:26" x14ac:dyDescent="0.45">
      <c r="U893" s="1"/>
      <c r="V893" s="1"/>
      <c r="W893" s="1"/>
      <c r="X893" s="1"/>
      <c r="Y893" s="1"/>
      <c r="Z893" s="1"/>
    </row>
    <row r="894" spans="20:26" x14ac:dyDescent="0.45">
      <c r="U894" s="1"/>
      <c r="V894" s="1"/>
      <c r="W894" s="1"/>
      <c r="X894" s="1"/>
      <c r="Y894" s="1"/>
      <c r="Z894" s="1"/>
    </row>
    <row r="895" spans="20:26" x14ac:dyDescent="0.45">
      <c r="U895" s="1"/>
      <c r="V895" s="1"/>
      <c r="W895" s="1"/>
      <c r="X895" s="1"/>
      <c r="Y895" s="1"/>
      <c r="Z895" s="1"/>
    </row>
    <row r="896" spans="20:26" x14ac:dyDescent="0.45">
      <c r="U896" s="1"/>
      <c r="V896" s="1"/>
      <c r="W896" s="1"/>
      <c r="X896" s="1"/>
      <c r="Y896" s="1"/>
      <c r="Z896" s="1"/>
    </row>
    <row r="897" spans="21:26" x14ac:dyDescent="0.45">
      <c r="U897" s="1"/>
      <c r="V897" s="1"/>
      <c r="W897" s="1"/>
      <c r="X897" s="1"/>
      <c r="Y897" s="1"/>
      <c r="Z897" s="1"/>
    </row>
    <row r="898" spans="21:26" x14ac:dyDescent="0.45">
      <c r="U898" s="1"/>
      <c r="V898" s="1"/>
      <c r="W898" s="1"/>
      <c r="X898" s="1"/>
      <c r="Y898" s="1"/>
      <c r="Z898" s="1"/>
    </row>
    <row r="899" spans="21:26" x14ac:dyDescent="0.45">
      <c r="U899" s="1"/>
      <c r="V899" s="1"/>
      <c r="W899" s="1"/>
      <c r="X899" s="1"/>
      <c r="Y899" s="1"/>
      <c r="Z899" s="1"/>
    </row>
    <row r="900" spans="21:26" x14ac:dyDescent="0.45">
      <c r="U900" s="1"/>
      <c r="V900" s="1"/>
      <c r="W900" s="1"/>
      <c r="X900" s="1"/>
      <c r="Y900" s="1"/>
      <c r="Z900" s="1"/>
    </row>
    <row r="901" spans="21:26" x14ac:dyDescent="0.45">
      <c r="U901" s="1"/>
      <c r="V901" s="1"/>
      <c r="W901" s="1"/>
      <c r="X901" s="1"/>
      <c r="Y901" s="1"/>
      <c r="Z901" s="1"/>
    </row>
    <row r="902" spans="21:26" x14ac:dyDescent="0.45">
      <c r="U902" s="1"/>
      <c r="V902" s="1"/>
      <c r="W902" s="1"/>
      <c r="X902" s="1"/>
      <c r="Y902" s="1"/>
      <c r="Z902" s="1"/>
    </row>
    <row r="903" spans="21:26" x14ac:dyDescent="0.45">
      <c r="U903" s="1"/>
      <c r="V903" s="1"/>
      <c r="W903" s="1"/>
      <c r="X903" s="1"/>
      <c r="Y903" s="1"/>
      <c r="Z903" s="1"/>
    </row>
    <row r="904" spans="21:26" x14ac:dyDescent="0.45">
      <c r="U904" s="1"/>
      <c r="V904" s="1"/>
      <c r="W904" s="1"/>
      <c r="X904" s="1"/>
      <c r="Y904" s="1"/>
      <c r="Z904" s="1"/>
    </row>
    <row r="905" spans="21:26" x14ac:dyDescent="0.45">
      <c r="U905" s="1"/>
      <c r="V905" s="1"/>
      <c r="W905" s="1"/>
      <c r="X905" s="1"/>
      <c r="Y905" s="1"/>
      <c r="Z905" s="1"/>
    </row>
    <row r="906" spans="21:26" x14ac:dyDescent="0.45">
      <c r="U906" s="1"/>
      <c r="V906" s="1"/>
      <c r="W906" s="1"/>
      <c r="X906" s="1"/>
      <c r="Y906" s="1"/>
      <c r="Z906" s="1"/>
    </row>
    <row r="923" spans="20:22" x14ac:dyDescent="0.45">
      <c r="T923" s="60"/>
      <c r="U923" s="9"/>
      <c r="V923" s="9"/>
    </row>
    <row r="924" spans="20:22" x14ac:dyDescent="0.45">
      <c r="T924" s="60"/>
      <c r="U924" s="9"/>
      <c r="V924" s="9"/>
    </row>
    <row r="925" spans="20:22" x14ac:dyDescent="0.45">
      <c r="T925" s="54"/>
      <c r="U925" s="9"/>
      <c r="V925" s="9"/>
    </row>
    <row r="926" spans="20:22" x14ac:dyDescent="0.45">
      <c r="T926" s="9"/>
      <c r="U926" s="9"/>
      <c r="V926" s="39"/>
    </row>
    <row r="927" spans="20:22" x14ac:dyDescent="0.45">
      <c r="T927" s="9"/>
      <c r="U927" s="9"/>
      <c r="V927" s="9"/>
    </row>
    <row r="950" spans="20:26" x14ac:dyDescent="0.45">
      <c r="T950" s="9"/>
      <c r="U950" s="48"/>
      <c r="V950" s="81"/>
    </row>
    <row r="951" spans="20:26" x14ac:dyDescent="0.45">
      <c r="T951" s="95"/>
      <c r="U951" s="9"/>
      <c r="V951" s="9"/>
    </row>
    <row r="952" spans="20:26" x14ac:dyDescent="0.45">
      <c r="T952" s="95"/>
      <c r="U952" s="9"/>
      <c r="V952" s="9"/>
    </row>
    <row r="953" spans="20:26" x14ac:dyDescent="0.45">
      <c r="T953" s="9"/>
      <c r="U953" s="9"/>
      <c r="V953" s="39"/>
    </row>
    <row r="954" spans="20:26" x14ac:dyDescent="0.45">
      <c r="U954" s="1"/>
      <c r="V954" s="1"/>
      <c r="W954" s="1"/>
      <c r="X954" s="1"/>
      <c r="Y954" s="1"/>
      <c r="Z954" s="1"/>
    </row>
    <row r="955" spans="20:26" x14ac:dyDescent="0.45">
      <c r="U955" s="1"/>
      <c r="V955" s="1"/>
      <c r="W955" s="1"/>
      <c r="X955" s="1"/>
      <c r="Y955" s="1"/>
      <c r="Z955" s="1"/>
    </row>
    <row r="956" spans="20:26" x14ac:dyDescent="0.45">
      <c r="U956" s="1"/>
      <c r="V956" s="1"/>
      <c r="W956" s="1"/>
      <c r="X956" s="1"/>
      <c r="Y956" s="1"/>
      <c r="Z956" s="1"/>
    </row>
    <row r="957" spans="20:26" x14ac:dyDescent="0.45">
      <c r="U957" s="1"/>
      <c r="V957" s="1"/>
      <c r="W957" s="1"/>
      <c r="X957" s="1"/>
      <c r="Y957" s="1"/>
      <c r="Z957" s="1"/>
    </row>
    <row r="958" spans="20:26" x14ac:dyDescent="0.45">
      <c r="U958" s="1"/>
      <c r="V958" s="1"/>
      <c r="W958" s="1"/>
      <c r="X958" s="1"/>
      <c r="Y958" s="1"/>
      <c r="Z958" s="1"/>
    </row>
    <row r="959" spans="20:26" x14ac:dyDescent="0.45">
      <c r="U959" s="1"/>
      <c r="V959" s="1"/>
      <c r="W959" s="1"/>
      <c r="X959" s="1"/>
      <c r="Y959" s="1"/>
      <c r="Z959" s="1"/>
    </row>
    <row r="960" spans="20:26" x14ac:dyDescent="0.45">
      <c r="U960" s="1"/>
      <c r="V960" s="1"/>
      <c r="W960" s="1"/>
      <c r="X960" s="1"/>
      <c r="Y960" s="1"/>
      <c r="Z960" s="1"/>
    </row>
    <row r="961" spans="21:26" x14ac:dyDescent="0.45">
      <c r="U961" s="1"/>
      <c r="V961" s="1"/>
      <c r="W961" s="1"/>
      <c r="X961" s="1"/>
      <c r="Y961" s="1"/>
      <c r="Z961" s="1"/>
    </row>
    <row r="962" spans="21:26" x14ac:dyDescent="0.45">
      <c r="U962" s="1"/>
      <c r="V962" s="1"/>
      <c r="W962" s="1"/>
      <c r="X962" s="1"/>
      <c r="Y962" s="1"/>
      <c r="Z962" s="1"/>
    </row>
    <row r="963" spans="21:26" x14ac:dyDescent="0.45">
      <c r="U963" s="1"/>
      <c r="V963" s="1"/>
      <c r="W963" s="1"/>
      <c r="X963" s="1"/>
      <c r="Y963" s="1"/>
      <c r="Z963" s="1"/>
    </row>
    <row r="964" spans="21:26" x14ac:dyDescent="0.45">
      <c r="U964" s="1"/>
      <c r="V964" s="1"/>
      <c r="W964" s="1"/>
      <c r="X964" s="1"/>
      <c r="Y964" s="1"/>
      <c r="Z964" s="1"/>
    </row>
    <row r="965" spans="21:26" x14ac:dyDescent="0.45">
      <c r="U965" s="1"/>
      <c r="V965" s="1"/>
      <c r="W965" s="1"/>
      <c r="X965" s="1"/>
      <c r="Y965" s="1"/>
      <c r="Z965" s="1"/>
    </row>
    <row r="966" spans="21:26" x14ac:dyDescent="0.45">
      <c r="U966" s="1"/>
      <c r="V966" s="1"/>
      <c r="W966" s="1"/>
      <c r="X966" s="1"/>
      <c r="Y966" s="1"/>
      <c r="Z966" s="1"/>
    </row>
    <row r="967" spans="21:26" x14ac:dyDescent="0.45">
      <c r="U967" s="1"/>
      <c r="V967" s="1"/>
      <c r="W967" s="1"/>
      <c r="X967" s="1"/>
      <c r="Y967" s="1"/>
      <c r="Z967" s="1"/>
    </row>
    <row r="980" spans="20:26" x14ac:dyDescent="0.45">
      <c r="T980" s="9"/>
      <c r="U980" s="48"/>
      <c r="V980" s="81"/>
    </row>
    <row r="981" spans="20:26" x14ac:dyDescent="0.45">
      <c r="T981" s="60"/>
      <c r="U981" s="9"/>
      <c r="V981" s="9"/>
    </row>
    <row r="982" spans="20:26" x14ac:dyDescent="0.45">
      <c r="T982" s="60"/>
      <c r="U982" s="9"/>
      <c r="V982" s="9"/>
    </row>
    <row r="983" spans="20:26" x14ac:dyDescent="0.45">
      <c r="T983" s="9"/>
      <c r="U983" s="9"/>
      <c r="V983" s="39"/>
    </row>
    <row r="984" spans="20:26" x14ac:dyDescent="0.45">
      <c r="U984" s="1"/>
      <c r="V984" s="1"/>
      <c r="W984" s="1"/>
      <c r="X984" s="1"/>
      <c r="Y984" s="1"/>
      <c r="Z984" s="1"/>
    </row>
    <row r="985" spans="20:26" x14ac:dyDescent="0.45">
      <c r="U985" s="1"/>
      <c r="V985" s="1"/>
      <c r="W985" s="1"/>
      <c r="X985" s="1"/>
      <c r="Y985" s="1"/>
      <c r="Z985" s="1"/>
    </row>
    <row r="986" spans="20:26" x14ac:dyDescent="0.45">
      <c r="U986" s="1"/>
      <c r="V986" s="1"/>
      <c r="W986" s="1"/>
      <c r="X986" s="1"/>
      <c r="Y986" s="1"/>
      <c r="Z986" s="1"/>
    </row>
    <row r="987" spans="20:26" x14ac:dyDescent="0.45">
      <c r="U987" s="1"/>
      <c r="V987" s="1"/>
      <c r="W987" s="1"/>
      <c r="X987" s="1"/>
      <c r="Y987" s="1"/>
      <c r="Z987" s="1"/>
    </row>
    <row r="988" spans="20:26" x14ac:dyDescent="0.45">
      <c r="U988" s="1"/>
      <c r="V988" s="1"/>
      <c r="W988" s="1"/>
      <c r="X988" s="1"/>
      <c r="Y988" s="1"/>
      <c r="Z988" s="1"/>
    </row>
    <row r="989" spans="20:26" x14ac:dyDescent="0.45">
      <c r="U989" s="1"/>
      <c r="V989" s="1"/>
      <c r="W989" s="1"/>
      <c r="X989" s="1"/>
      <c r="Y989" s="1"/>
      <c r="Z989" s="1"/>
    </row>
    <row r="990" spans="20:26" x14ac:dyDescent="0.45">
      <c r="U990" s="1"/>
      <c r="V990" s="1"/>
      <c r="W990" s="1"/>
      <c r="X990" s="1"/>
      <c r="Y990" s="1"/>
      <c r="Z990" s="1"/>
    </row>
    <row r="991" spans="20:26" x14ac:dyDescent="0.45">
      <c r="U991" s="1"/>
      <c r="V991" s="1"/>
      <c r="W991" s="1"/>
      <c r="X991" s="1"/>
      <c r="Y991" s="1"/>
      <c r="Z991" s="1"/>
    </row>
    <row r="992" spans="20:26" x14ac:dyDescent="0.45">
      <c r="U992" s="1"/>
      <c r="V992" s="1"/>
      <c r="W992" s="1"/>
      <c r="X992" s="1"/>
      <c r="Y992" s="1"/>
      <c r="Z992" s="1"/>
    </row>
    <row r="993" spans="21:26" x14ac:dyDescent="0.45">
      <c r="U993" s="1"/>
      <c r="V993" s="1"/>
      <c r="W993" s="1"/>
      <c r="X993" s="1"/>
      <c r="Y993" s="1"/>
      <c r="Z993" s="1"/>
    </row>
    <row r="994" spans="21:26" x14ac:dyDescent="0.45">
      <c r="U994" s="1"/>
      <c r="V994" s="1"/>
      <c r="W994" s="1"/>
      <c r="X994" s="1"/>
      <c r="Y994" s="1"/>
      <c r="Z994" s="1"/>
    </row>
    <row r="995" spans="21:26" x14ac:dyDescent="0.45">
      <c r="U995" s="1"/>
      <c r="V995" s="1"/>
      <c r="W995" s="1"/>
      <c r="X995" s="1"/>
      <c r="Y995" s="1"/>
      <c r="Z995" s="1"/>
    </row>
    <row r="996" spans="21:26" x14ac:dyDescent="0.45">
      <c r="U996" s="1"/>
      <c r="V996" s="1"/>
      <c r="W996" s="1"/>
      <c r="X996" s="1"/>
      <c r="Y996" s="1"/>
      <c r="Z996" s="1"/>
    </row>
    <row r="997" spans="21:26" x14ac:dyDescent="0.45">
      <c r="U997" s="1"/>
      <c r="V997" s="1"/>
      <c r="W997" s="1"/>
      <c r="X997" s="1"/>
      <c r="Y997" s="1"/>
      <c r="Z997" s="1"/>
    </row>
  </sheetData>
  <sheetProtection algorithmName="SHA-512" hashValue="bWmiOPTE28e2Ce+bKtTdsEvP7PNNkTiIFZrvPKIF6DTtNcysf3qlwQtY5zbnWPam2Wvh4weYdmqIw66FnyTv7w==" saltValue="TvijEPemedKduoC92yNbTg==" spinCount="100000" sheet="1" objects="1" scenarios="1" formatColumns="0" formatRows="0"/>
  <mergeCells count="25">
    <mergeCell ref="W223:X223"/>
    <mergeCell ref="Y223:Z223"/>
    <mergeCell ref="T357:T358"/>
    <mergeCell ref="U260:V260"/>
    <mergeCell ref="AN5:AT6"/>
    <mergeCell ref="W186:X186"/>
    <mergeCell ref="AA186:AB186"/>
    <mergeCell ref="U296:V296"/>
    <mergeCell ref="Y186:Z186"/>
    <mergeCell ref="S179:S182"/>
    <mergeCell ref="S216:S219"/>
    <mergeCell ref="S253:S256"/>
    <mergeCell ref="S290:S292"/>
    <mergeCell ref="U186:V186"/>
    <mergeCell ref="U223:V223"/>
    <mergeCell ref="T832:T833"/>
    <mergeCell ref="T798:T799"/>
    <mergeCell ref="T562:T563"/>
    <mergeCell ref="T729:T730"/>
    <mergeCell ref="T763:T764"/>
    <mergeCell ref="B5:H6"/>
    <mergeCell ref="K5:Q6"/>
    <mergeCell ref="K145:K146"/>
    <mergeCell ref="T5:Z6"/>
    <mergeCell ref="AE5:AK6"/>
  </mergeCells>
  <phoneticPr fontId="18" type="noConversion"/>
  <conditionalFormatting sqref="AT181">
    <cfRule type="cellIs" dxfId="407" priority="25" operator="lessThan">
      <formula>0.3</formula>
    </cfRule>
  </conditionalFormatting>
  <conditionalFormatting sqref="C11:D11">
    <cfRule type="cellIs" dxfId="406" priority="478" operator="lessThan">
      <formula>0.3</formula>
    </cfRule>
  </conditionalFormatting>
  <conditionalFormatting sqref="C11:D11">
    <cfRule type="cellIs" dxfId="405" priority="479" operator="lessThan">
      <formula>0.7</formula>
    </cfRule>
    <cfRule type="cellIs" dxfId="404" priority="480" operator="lessThanOrEqual">
      <formula>1</formula>
    </cfRule>
  </conditionalFormatting>
  <conditionalFormatting sqref="E11:F11">
    <cfRule type="cellIs" dxfId="403" priority="475" operator="lessThan">
      <formula>0.3</formula>
    </cfRule>
  </conditionalFormatting>
  <conditionalFormatting sqref="E11:F11">
    <cfRule type="cellIs" dxfId="402" priority="476" operator="lessThan">
      <formula>0.7</formula>
    </cfRule>
    <cfRule type="cellIs" dxfId="401" priority="477" operator="lessThanOrEqual">
      <formula>1</formula>
    </cfRule>
  </conditionalFormatting>
  <conditionalFormatting sqref="G11:H11">
    <cfRule type="cellIs" dxfId="400" priority="472" operator="lessThan">
      <formula>0.3</formula>
    </cfRule>
  </conditionalFormatting>
  <conditionalFormatting sqref="G11:H11">
    <cfRule type="cellIs" dxfId="399" priority="473" operator="lessThan">
      <formula>0.7</formula>
    </cfRule>
    <cfRule type="cellIs" dxfId="398" priority="474" operator="lessThanOrEqual">
      <formula>1</formula>
    </cfRule>
  </conditionalFormatting>
  <conditionalFormatting sqref="C45:D45">
    <cfRule type="cellIs" dxfId="397" priority="469" operator="lessThan">
      <formula>0.3</formula>
    </cfRule>
  </conditionalFormatting>
  <conditionalFormatting sqref="C45:D45">
    <cfRule type="cellIs" dxfId="396" priority="470" operator="lessThan">
      <formula>0.7</formula>
    </cfRule>
    <cfRule type="cellIs" dxfId="395" priority="471" operator="lessThanOrEqual">
      <formula>1</formula>
    </cfRule>
  </conditionalFormatting>
  <conditionalFormatting sqref="E45:F45">
    <cfRule type="cellIs" dxfId="394" priority="466" operator="lessThan">
      <formula>0.3</formula>
    </cfRule>
  </conditionalFormatting>
  <conditionalFormatting sqref="E45:F45">
    <cfRule type="cellIs" dxfId="393" priority="467" operator="lessThan">
      <formula>0.7</formula>
    </cfRule>
    <cfRule type="cellIs" dxfId="392" priority="468" operator="lessThanOrEqual">
      <formula>1</formula>
    </cfRule>
  </conditionalFormatting>
  <conditionalFormatting sqref="G45:H45">
    <cfRule type="cellIs" dxfId="391" priority="463" operator="lessThan">
      <formula>0.3</formula>
    </cfRule>
  </conditionalFormatting>
  <conditionalFormatting sqref="G45:H45">
    <cfRule type="cellIs" dxfId="390" priority="464" operator="lessThan">
      <formula>0.7</formula>
    </cfRule>
    <cfRule type="cellIs" dxfId="389" priority="465" operator="lessThanOrEqual">
      <formula>1</formula>
    </cfRule>
  </conditionalFormatting>
  <conditionalFormatting sqref="L11:M11">
    <cfRule type="cellIs" dxfId="388" priority="460" operator="lessThan">
      <formula>0.3</formula>
    </cfRule>
  </conditionalFormatting>
  <conditionalFormatting sqref="L11:M11">
    <cfRule type="cellIs" dxfId="387" priority="461" operator="lessThan">
      <formula>0.7</formula>
    </cfRule>
    <cfRule type="cellIs" dxfId="386" priority="462" operator="lessThanOrEqual">
      <formula>1</formula>
    </cfRule>
  </conditionalFormatting>
  <conditionalFormatting sqref="N11:O11">
    <cfRule type="cellIs" dxfId="385" priority="457" operator="lessThan">
      <formula>0.3</formula>
    </cfRule>
  </conditionalFormatting>
  <conditionalFormatting sqref="N11:O11">
    <cfRule type="cellIs" dxfId="384" priority="458" operator="lessThan">
      <formula>0.7</formula>
    </cfRule>
    <cfRule type="cellIs" dxfId="383" priority="459" operator="lessThanOrEqual">
      <formula>1</formula>
    </cfRule>
  </conditionalFormatting>
  <conditionalFormatting sqref="P11:Q11">
    <cfRule type="cellIs" dxfId="382" priority="454" operator="lessThan">
      <formula>0.3</formula>
    </cfRule>
  </conditionalFormatting>
  <conditionalFormatting sqref="P11:Q11">
    <cfRule type="cellIs" dxfId="381" priority="455" operator="lessThan">
      <formula>0.7</formula>
    </cfRule>
    <cfRule type="cellIs" dxfId="380" priority="456" operator="lessThanOrEqual">
      <formula>1</formula>
    </cfRule>
  </conditionalFormatting>
  <conditionalFormatting sqref="L45:M45">
    <cfRule type="cellIs" dxfId="379" priority="451" operator="lessThan">
      <formula>0.3</formula>
    </cfRule>
  </conditionalFormatting>
  <conditionalFormatting sqref="L45:M45">
    <cfRule type="cellIs" dxfId="378" priority="452" operator="lessThan">
      <formula>0.7</formula>
    </cfRule>
    <cfRule type="cellIs" dxfId="377" priority="453" operator="lessThanOrEqual">
      <formula>1</formula>
    </cfRule>
  </conditionalFormatting>
  <conditionalFormatting sqref="N45:O45">
    <cfRule type="cellIs" dxfId="376" priority="448" operator="lessThan">
      <formula>0.3</formula>
    </cfRule>
  </conditionalFormatting>
  <conditionalFormatting sqref="N45:O45">
    <cfRule type="cellIs" dxfId="375" priority="449" operator="lessThan">
      <formula>0.7</formula>
    </cfRule>
    <cfRule type="cellIs" dxfId="374" priority="450" operator="lessThanOrEqual">
      <formula>1</formula>
    </cfRule>
  </conditionalFormatting>
  <conditionalFormatting sqref="P45:Q45">
    <cfRule type="cellIs" dxfId="373" priority="445" operator="lessThan">
      <formula>0.3</formula>
    </cfRule>
  </conditionalFormatting>
  <conditionalFormatting sqref="P45:Q45">
    <cfRule type="cellIs" dxfId="372" priority="446" operator="lessThan">
      <formula>0.7</formula>
    </cfRule>
    <cfRule type="cellIs" dxfId="371" priority="447" operator="lessThanOrEqual">
      <formula>1</formula>
    </cfRule>
  </conditionalFormatting>
  <conditionalFormatting sqref="L78:M78">
    <cfRule type="cellIs" dxfId="370" priority="442" operator="lessThan">
      <formula>0.3</formula>
    </cfRule>
  </conditionalFormatting>
  <conditionalFormatting sqref="L78:M78">
    <cfRule type="cellIs" dxfId="369" priority="443" operator="lessThan">
      <formula>0.7</formula>
    </cfRule>
    <cfRule type="cellIs" dxfId="368" priority="444" operator="lessThanOrEqual">
      <formula>1</formula>
    </cfRule>
  </conditionalFormatting>
  <conditionalFormatting sqref="N78:O78">
    <cfRule type="cellIs" dxfId="367" priority="439" operator="lessThan">
      <formula>0.3</formula>
    </cfRule>
  </conditionalFormatting>
  <conditionalFormatting sqref="N78:O78">
    <cfRule type="cellIs" dxfId="366" priority="440" operator="lessThan">
      <formula>0.7</formula>
    </cfRule>
    <cfRule type="cellIs" dxfId="365" priority="441" operator="lessThanOrEqual">
      <formula>1</formula>
    </cfRule>
  </conditionalFormatting>
  <conditionalFormatting sqref="P78:Q78">
    <cfRule type="cellIs" dxfId="364" priority="436" operator="lessThan">
      <formula>0.3</formula>
    </cfRule>
  </conditionalFormatting>
  <conditionalFormatting sqref="P78:Q78">
    <cfRule type="cellIs" dxfId="363" priority="437" operator="lessThan">
      <formula>0.7</formula>
    </cfRule>
    <cfRule type="cellIs" dxfId="362" priority="438" operator="lessThanOrEqual">
      <formula>1</formula>
    </cfRule>
  </conditionalFormatting>
  <conditionalFormatting sqref="L113:M113">
    <cfRule type="cellIs" dxfId="361" priority="433" operator="lessThan">
      <formula>0.3</formula>
    </cfRule>
  </conditionalFormatting>
  <conditionalFormatting sqref="L113:M113">
    <cfRule type="cellIs" dxfId="360" priority="434" operator="lessThan">
      <formula>0.7</formula>
    </cfRule>
    <cfRule type="cellIs" dxfId="359" priority="435" operator="lessThanOrEqual">
      <formula>1</formula>
    </cfRule>
  </conditionalFormatting>
  <conditionalFormatting sqref="N113:O113">
    <cfRule type="cellIs" dxfId="358" priority="430" operator="lessThan">
      <formula>0.3</formula>
    </cfRule>
  </conditionalFormatting>
  <conditionalFormatting sqref="N113:O113">
    <cfRule type="cellIs" dxfId="357" priority="431" operator="lessThan">
      <formula>0.7</formula>
    </cfRule>
    <cfRule type="cellIs" dxfId="356" priority="432" operator="lessThanOrEqual">
      <formula>1</formula>
    </cfRule>
  </conditionalFormatting>
  <conditionalFormatting sqref="P113:Q113">
    <cfRule type="cellIs" dxfId="355" priority="427" operator="lessThan">
      <formula>0.3</formula>
    </cfRule>
  </conditionalFormatting>
  <conditionalFormatting sqref="P113:Q113">
    <cfRule type="cellIs" dxfId="354" priority="428" operator="lessThan">
      <formula>0.7</formula>
    </cfRule>
    <cfRule type="cellIs" dxfId="353" priority="429" operator="lessThanOrEqual">
      <formula>1</formula>
    </cfRule>
  </conditionalFormatting>
  <conditionalFormatting sqref="L147:M147">
    <cfRule type="cellIs" dxfId="352" priority="424" operator="lessThan">
      <formula>0.3</formula>
    </cfRule>
  </conditionalFormatting>
  <conditionalFormatting sqref="L147:M147">
    <cfRule type="cellIs" dxfId="351" priority="425" operator="lessThan">
      <formula>0.7</formula>
    </cfRule>
    <cfRule type="cellIs" dxfId="350" priority="426" operator="lessThanOrEqual">
      <formula>1</formula>
    </cfRule>
  </conditionalFormatting>
  <conditionalFormatting sqref="N147:O147">
    <cfRule type="cellIs" dxfId="349" priority="421" operator="lessThan">
      <formula>0.3</formula>
    </cfRule>
  </conditionalFormatting>
  <conditionalFormatting sqref="N147:O147">
    <cfRule type="cellIs" dxfId="348" priority="422" operator="lessThan">
      <formula>0.7</formula>
    </cfRule>
    <cfRule type="cellIs" dxfId="347" priority="423" operator="lessThanOrEqual">
      <formula>1</formula>
    </cfRule>
  </conditionalFormatting>
  <conditionalFormatting sqref="P147:Q147">
    <cfRule type="cellIs" dxfId="346" priority="418" operator="lessThan">
      <formula>0.3</formula>
    </cfRule>
  </conditionalFormatting>
  <conditionalFormatting sqref="P147:Q147">
    <cfRule type="cellIs" dxfId="345" priority="419" operator="lessThan">
      <formula>0.7</formula>
    </cfRule>
    <cfRule type="cellIs" dxfId="344" priority="420" operator="lessThanOrEqual">
      <formula>1</formula>
    </cfRule>
  </conditionalFormatting>
  <conditionalFormatting sqref="U11:V11">
    <cfRule type="cellIs" dxfId="343" priority="415" operator="lessThan">
      <formula>0.3</formula>
    </cfRule>
  </conditionalFormatting>
  <conditionalFormatting sqref="U11:V11">
    <cfRule type="cellIs" dxfId="342" priority="416" operator="lessThan">
      <formula>0.7</formula>
    </cfRule>
    <cfRule type="cellIs" dxfId="341" priority="417" operator="lessThanOrEqual">
      <formula>1</formula>
    </cfRule>
  </conditionalFormatting>
  <conditionalFormatting sqref="W11:X11">
    <cfRule type="cellIs" dxfId="340" priority="412" operator="lessThan">
      <formula>0.3</formula>
    </cfRule>
  </conditionalFormatting>
  <conditionalFormatting sqref="W11:X11">
    <cfRule type="cellIs" dxfId="339" priority="413" operator="lessThan">
      <formula>0.7</formula>
    </cfRule>
    <cfRule type="cellIs" dxfId="338" priority="414" operator="lessThanOrEqual">
      <formula>1</formula>
    </cfRule>
  </conditionalFormatting>
  <conditionalFormatting sqref="Y11:Z11">
    <cfRule type="cellIs" dxfId="337" priority="409" operator="lessThan">
      <formula>0.3</formula>
    </cfRule>
  </conditionalFormatting>
  <conditionalFormatting sqref="Y11:Z11">
    <cfRule type="cellIs" dxfId="336" priority="410" operator="lessThan">
      <formula>0.7</formula>
    </cfRule>
    <cfRule type="cellIs" dxfId="335" priority="411" operator="lessThanOrEqual">
      <formula>1</formula>
    </cfRule>
  </conditionalFormatting>
  <conditionalFormatting sqref="U45:V45">
    <cfRule type="cellIs" dxfId="334" priority="406" operator="lessThan">
      <formula>0.3</formula>
    </cfRule>
  </conditionalFormatting>
  <conditionalFormatting sqref="U45:V45">
    <cfRule type="cellIs" dxfId="333" priority="407" operator="lessThan">
      <formula>0.7</formula>
    </cfRule>
    <cfRule type="cellIs" dxfId="332" priority="408" operator="lessThanOrEqual">
      <formula>1</formula>
    </cfRule>
  </conditionalFormatting>
  <conditionalFormatting sqref="W45:X45">
    <cfRule type="cellIs" dxfId="331" priority="403" operator="lessThan">
      <formula>0.3</formula>
    </cfRule>
  </conditionalFormatting>
  <conditionalFormatting sqref="W45:X45">
    <cfRule type="cellIs" dxfId="330" priority="404" operator="lessThan">
      <formula>0.7</formula>
    </cfRule>
    <cfRule type="cellIs" dxfId="329" priority="405" operator="lessThanOrEqual">
      <formula>1</formula>
    </cfRule>
  </conditionalFormatting>
  <conditionalFormatting sqref="Y45:Z45">
    <cfRule type="cellIs" dxfId="328" priority="400" operator="lessThan">
      <formula>0.3</formula>
    </cfRule>
  </conditionalFormatting>
  <conditionalFormatting sqref="Y45:Z45">
    <cfRule type="cellIs" dxfId="327" priority="401" operator="lessThan">
      <formula>0.7</formula>
    </cfRule>
    <cfRule type="cellIs" dxfId="326" priority="402" operator="lessThanOrEqual">
      <formula>1</formula>
    </cfRule>
  </conditionalFormatting>
  <conditionalFormatting sqref="U80:V80">
    <cfRule type="cellIs" dxfId="325" priority="397" operator="lessThan">
      <formula>0.3</formula>
    </cfRule>
  </conditionalFormatting>
  <conditionalFormatting sqref="U80:V80">
    <cfRule type="cellIs" dxfId="324" priority="398" operator="lessThan">
      <formula>0.7</formula>
    </cfRule>
    <cfRule type="cellIs" dxfId="323" priority="399" operator="lessThanOrEqual">
      <formula>1</formula>
    </cfRule>
  </conditionalFormatting>
  <conditionalFormatting sqref="W80:X80">
    <cfRule type="cellIs" dxfId="322" priority="394" operator="lessThan">
      <formula>0.3</formula>
    </cfRule>
  </conditionalFormatting>
  <conditionalFormatting sqref="W80:X80">
    <cfRule type="cellIs" dxfId="321" priority="395" operator="lessThan">
      <formula>0.7</formula>
    </cfRule>
    <cfRule type="cellIs" dxfId="320" priority="396" operator="lessThanOrEqual">
      <formula>1</formula>
    </cfRule>
  </conditionalFormatting>
  <conditionalFormatting sqref="Y80:Z80">
    <cfRule type="cellIs" dxfId="319" priority="391" operator="lessThan">
      <formula>0.3</formula>
    </cfRule>
  </conditionalFormatting>
  <conditionalFormatting sqref="Y80:Z80">
    <cfRule type="cellIs" dxfId="318" priority="392" operator="lessThan">
      <formula>0.7</formula>
    </cfRule>
    <cfRule type="cellIs" dxfId="317" priority="393" operator="lessThanOrEqual">
      <formula>1</formula>
    </cfRule>
  </conditionalFormatting>
  <conditionalFormatting sqref="U114:V114">
    <cfRule type="cellIs" dxfId="316" priority="388" operator="lessThan">
      <formula>0.3</formula>
    </cfRule>
  </conditionalFormatting>
  <conditionalFormatting sqref="U114:V114">
    <cfRule type="cellIs" dxfId="315" priority="389" operator="lessThan">
      <formula>0.7</formula>
    </cfRule>
    <cfRule type="cellIs" dxfId="314" priority="390" operator="lessThanOrEqual">
      <formula>1</formula>
    </cfRule>
  </conditionalFormatting>
  <conditionalFormatting sqref="W114:X114">
    <cfRule type="cellIs" dxfId="313" priority="385" operator="lessThan">
      <formula>0.3</formula>
    </cfRule>
  </conditionalFormatting>
  <conditionalFormatting sqref="W114:X114">
    <cfRule type="cellIs" dxfId="312" priority="386" operator="lessThan">
      <formula>0.7</formula>
    </cfRule>
    <cfRule type="cellIs" dxfId="311" priority="387" operator="lessThanOrEqual">
      <formula>1</formula>
    </cfRule>
  </conditionalFormatting>
  <conditionalFormatting sqref="Y114:Z114">
    <cfRule type="cellIs" dxfId="310" priority="382" operator="lessThan">
      <formula>0.3</formula>
    </cfRule>
  </conditionalFormatting>
  <conditionalFormatting sqref="Y114:Z114">
    <cfRule type="cellIs" dxfId="309" priority="383" operator="lessThan">
      <formula>0.7</formula>
    </cfRule>
    <cfRule type="cellIs" dxfId="308" priority="384" operator="lessThanOrEqual">
      <formula>1</formula>
    </cfRule>
  </conditionalFormatting>
  <conditionalFormatting sqref="U147:V147">
    <cfRule type="cellIs" dxfId="307" priority="379" operator="lessThan">
      <formula>0.3</formula>
    </cfRule>
  </conditionalFormatting>
  <conditionalFormatting sqref="U147:V147">
    <cfRule type="cellIs" dxfId="306" priority="380" operator="lessThan">
      <formula>0.7</formula>
    </cfRule>
    <cfRule type="cellIs" dxfId="305" priority="381" operator="lessThanOrEqual">
      <formula>1</formula>
    </cfRule>
  </conditionalFormatting>
  <conditionalFormatting sqref="W147:X147">
    <cfRule type="cellIs" dxfId="304" priority="376" operator="lessThan">
      <formula>0.3</formula>
    </cfRule>
  </conditionalFormatting>
  <conditionalFormatting sqref="W147:X147">
    <cfRule type="cellIs" dxfId="303" priority="377" operator="lessThan">
      <formula>0.7</formula>
    </cfRule>
    <cfRule type="cellIs" dxfId="302" priority="378" operator="lessThanOrEqual">
      <formula>1</formula>
    </cfRule>
  </conditionalFormatting>
  <conditionalFormatting sqref="Y147:Z147">
    <cfRule type="cellIs" dxfId="301" priority="373" operator="lessThan">
      <formula>0.3</formula>
    </cfRule>
  </conditionalFormatting>
  <conditionalFormatting sqref="Y147:Z147">
    <cfRule type="cellIs" dxfId="300" priority="374" operator="lessThan">
      <formula>0.7</formula>
    </cfRule>
    <cfRule type="cellIs" dxfId="299" priority="375" operator="lessThanOrEqual">
      <formula>1</formula>
    </cfRule>
  </conditionalFormatting>
  <conditionalFormatting sqref="U183:V183">
    <cfRule type="cellIs" dxfId="298" priority="370" operator="lessThan">
      <formula>0.3</formula>
    </cfRule>
  </conditionalFormatting>
  <conditionalFormatting sqref="U183:V183">
    <cfRule type="cellIs" dxfId="297" priority="371" operator="lessThan">
      <formula>0.7</formula>
    </cfRule>
    <cfRule type="cellIs" dxfId="296" priority="372" operator="lessThanOrEqual">
      <formula>1</formula>
    </cfRule>
  </conditionalFormatting>
  <conditionalFormatting sqref="W183:X183">
    <cfRule type="cellIs" dxfId="295" priority="367" operator="lessThan">
      <formula>0.3</formula>
    </cfRule>
  </conditionalFormatting>
  <conditionalFormatting sqref="W183:X183">
    <cfRule type="cellIs" dxfId="294" priority="368" operator="lessThan">
      <formula>0.7</formula>
    </cfRule>
    <cfRule type="cellIs" dxfId="293" priority="369" operator="lessThanOrEqual">
      <formula>1</formula>
    </cfRule>
  </conditionalFormatting>
  <conditionalFormatting sqref="Y183:Z183">
    <cfRule type="cellIs" dxfId="292" priority="364" operator="lessThan">
      <formula>0.3</formula>
    </cfRule>
  </conditionalFormatting>
  <conditionalFormatting sqref="Y183:Z183">
    <cfRule type="cellIs" dxfId="291" priority="365" operator="lessThan">
      <formula>0.7</formula>
    </cfRule>
    <cfRule type="cellIs" dxfId="290" priority="366" operator="lessThanOrEqual">
      <formula>1</formula>
    </cfRule>
  </conditionalFormatting>
  <conditionalFormatting sqref="U220:V220">
    <cfRule type="cellIs" dxfId="289" priority="361" operator="lessThan">
      <formula>0.3</formula>
    </cfRule>
  </conditionalFormatting>
  <conditionalFormatting sqref="U220:V220">
    <cfRule type="cellIs" dxfId="288" priority="362" operator="lessThan">
      <formula>0.7</formula>
    </cfRule>
    <cfRule type="cellIs" dxfId="287" priority="363" operator="lessThanOrEqual">
      <formula>1</formula>
    </cfRule>
  </conditionalFormatting>
  <conditionalFormatting sqref="W220:X220">
    <cfRule type="cellIs" dxfId="286" priority="358" operator="lessThan">
      <formula>0.3</formula>
    </cfRule>
  </conditionalFormatting>
  <conditionalFormatting sqref="W220:X220">
    <cfRule type="cellIs" dxfId="285" priority="359" operator="lessThan">
      <formula>0.7</formula>
    </cfRule>
    <cfRule type="cellIs" dxfId="284" priority="360" operator="lessThanOrEqual">
      <formula>1</formula>
    </cfRule>
  </conditionalFormatting>
  <conditionalFormatting sqref="Y220:Z220">
    <cfRule type="cellIs" dxfId="283" priority="355" operator="lessThan">
      <formula>0.3</formula>
    </cfRule>
  </conditionalFormatting>
  <conditionalFormatting sqref="Y220:Z220">
    <cfRule type="cellIs" dxfId="282" priority="356" operator="lessThan">
      <formula>0.7</formula>
    </cfRule>
    <cfRule type="cellIs" dxfId="281" priority="357" operator="lessThanOrEqual">
      <formula>1</formula>
    </cfRule>
  </conditionalFormatting>
  <conditionalFormatting sqref="U257:V257">
    <cfRule type="cellIs" dxfId="280" priority="352" operator="lessThan">
      <formula>0.3</formula>
    </cfRule>
  </conditionalFormatting>
  <conditionalFormatting sqref="U257:V257">
    <cfRule type="cellIs" dxfId="279" priority="353" operator="lessThan">
      <formula>0.7</formula>
    </cfRule>
    <cfRule type="cellIs" dxfId="278" priority="354" operator="lessThanOrEqual">
      <formula>1</formula>
    </cfRule>
  </conditionalFormatting>
  <conditionalFormatting sqref="W257:X257">
    <cfRule type="cellIs" dxfId="277" priority="349" operator="lessThan">
      <formula>0.3</formula>
    </cfRule>
  </conditionalFormatting>
  <conditionalFormatting sqref="W257:X257">
    <cfRule type="cellIs" dxfId="276" priority="350" operator="lessThan">
      <formula>0.7</formula>
    </cfRule>
    <cfRule type="cellIs" dxfId="275" priority="351" operator="lessThanOrEqual">
      <formula>1</formula>
    </cfRule>
  </conditionalFormatting>
  <conditionalFormatting sqref="Y257:Z257">
    <cfRule type="cellIs" dxfId="274" priority="346" operator="lessThan">
      <formula>0.3</formula>
    </cfRule>
  </conditionalFormatting>
  <conditionalFormatting sqref="Y257:Z257">
    <cfRule type="cellIs" dxfId="273" priority="347" operator="lessThan">
      <formula>0.7</formula>
    </cfRule>
    <cfRule type="cellIs" dxfId="272" priority="348" operator="lessThanOrEqual">
      <formula>1</formula>
    </cfRule>
  </conditionalFormatting>
  <conditionalFormatting sqref="U293:V293">
    <cfRule type="cellIs" dxfId="271" priority="343" operator="lessThan">
      <formula>0.3</formula>
    </cfRule>
  </conditionalFormatting>
  <conditionalFormatting sqref="U293:V293">
    <cfRule type="cellIs" dxfId="270" priority="344" operator="lessThan">
      <formula>0.7</formula>
    </cfRule>
    <cfRule type="cellIs" dxfId="269" priority="345" operator="lessThanOrEqual">
      <formula>1</formula>
    </cfRule>
  </conditionalFormatting>
  <conditionalFormatting sqref="W293:X293">
    <cfRule type="cellIs" dxfId="268" priority="340" operator="lessThan">
      <formula>0.3</formula>
    </cfRule>
  </conditionalFormatting>
  <conditionalFormatting sqref="W293:X293">
    <cfRule type="cellIs" dxfId="267" priority="341" operator="lessThan">
      <formula>0.7</formula>
    </cfRule>
    <cfRule type="cellIs" dxfId="266" priority="342" operator="lessThanOrEqual">
      <formula>1</formula>
    </cfRule>
  </conditionalFormatting>
  <conditionalFormatting sqref="Y293:Z293">
    <cfRule type="cellIs" dxfId="265" priority="337" operator="lessThan">
      <formula>0.3</formula>
    </cfRule>
  </conditionalFormatting>
  <conditionalFormatting sqref="Y293:Z293">
    <cfRule type="cellIs" dxfId="264" priority="338" operator="lessThan">
      <formula>0.7</formula>
    </cfRule>
    <cfRule type="cellIs" dxfId="263" priority="339" operator="lessThanOrEqual">
      <formula>1</formula>
    </cfRule>
  </conditionalFormatting>
  <conditionalFormatting sqref="U326:V326">
    <cfRule type="cellIs" dxfId="262" priority="334" operator="lessThan">
      <formula>0.3</formula>
    </cfRule>
  </conditionalFormatting>
  <conditionalFormatting sqref="U326:V326">
    <cfRule type="cellIs" dxfId="261" priority="335" operator="lessThan">
      <formula>0.7</formula>
    </cfRule>
    <cfRule type="cellIs" dxfId="260" priority="336" operator="lessThanOrEqual">
      <formula>1</formula>
    </cfRule>
  </conditionalFormatting>
  <conditionalFormatting sqref="W326:X326">
    <cfRule type="cellIs" dxfId="259" priority="331" operator="lessThan">
      <formula>0.3</formula>
    </cfRule>
  </conditionalFormatting>
  <conditionalFormatting sqref="W326:X326">
    <cfRule type="cellIs" dxfId="258" priority="332" operator="lessThan">
      <formula>0.7</formula>
    </cfRule>
    <cfRule type="cellIs" dxfId="257" priority="333" operator="lessThanOrEqual">
      <formula>1</formula>
    </cfRule>
  </conditionalFormatting>
  <conditionalFormatting sqref="Y326:Z326">
    <cfRule type="cellIs" dxfId="256" priority="328" operator="lessThan">
      <formula>0.3</formula>
    </cfRule>
  </conditionalFormatting>
  <conditionalFormatting sqref="Y326:Z326">
    <cfRule type="cellIs" dxfId="255" priority="329" operator="lessThan">
      <formula>0.7</formula>
    </cfRule>
    <cfRule type="cellIs" dxfId="254" priority="330" operator="lessThanOrEqual">
      <formula>1</formula>
    </cfRule>
  </conditionalFormatting>
  <conditionalFormatting sqref="U359:V359">
    <cfRule type="cellIs" dxfId="253" priority="325" operator="lessThan">
      <formula>0.3</formula>
    </cfRule>
  </conditionalFormatting>
  <conditionalFormatting sqref="U359:V359">
    <cfRule type="cellIs" dxfId="252" priority="326" operator="lessThan">
      <formula>0.7</formula>
    </cfRule>
    <cfRule type="cellIs" dxfId="251" priority="327" operator="lessThanOrEqual">
      <formula>1</formula>
    </cfRule>
  </conditionalFormatting>
  <conditionalFormatting sqref="W359:X359">
    <cfRule type="cellIs" dxfId="250" priority="322" operator="lessThan">
      <formula>0.3</formula>
    </cfRule>
  </conditionalFormatting>
  <conditionalFormatting sqref="W359:X359">
    <cfRule type="cellIs" dxfId="249" priority="323" operator="lessThan">
      <formula>0.7</formula>
    </cfRule>
    <cfRule type="cellIs" dxfId="248" priority="324" operator="lessThanOrEqual">
      <formula>1</formula>
    </cfRule>
  </conditionalFormatting>
  <conditionalFormatting sqref="Y359:Z359">
    <cfRule type="cellIs" dxfId="247" priority="319" operator="lessThan">
      <formula>0.3</formula>
    </cfRule>
  </conditionalFormatting>
  <conditionalFormatting sqref="Y359:Z359">
    <cfRule type="cellIs" dxfId="246" priority="320" operator="lessThan">
      <formula>0.7</formula>
    </cfRule>
    <cfRule type="cellIs" dxfId="245" priority="321" operator="lessThanOrEqual">
      <formula>1</formula>
    </cfRule>
  </conditionalFormatting>
  <conditionalFormatting sqref="U394:V394">
    <cfRule type="cellIs" dxfId="244" priority="316" operator="lessThan">
      <formula>0.3</formula>
    </cfRule>
  </conditionalFormatting>
  <conditionalFormatting sqref="U394:V394">
    <cfRule type="cellIs" dxfId="243" priority="317" operator="lessThan">
      <formula>0.7</formula>
    </cfRule>
    <cfRule type="cellIs" dxfId="242" priority="318" operator="lessThanOrEqual">
      <formula>1</formula>
    </cfRule>
  </conditionalFormatting>
  <conditionalFormatting sqref="W394:X394">
    <cfRule type="cellIs" dxfId="241" priority="313" operator="lessThan">
      <formula>0.3</formula>
    </cfRule>
  </conditionalFormatting>
  <conditionalFormatting sqref="W394:X394">
    <cfRule type="cellIs" dxfId="240" priority="314" operator="lessThan">
      <formula>0.7</formula>
    </cfRule>
    <cfRule type="cellIs" dxfId="239" priority="315" operator="lessThanOrEqual">
      <formula>1</formula>
    </cfRule>
  </conditionalFormatting>
  <conditionalFormatting sqref="Y394:Z394">
    <cfRule type="cellIs" dxfId="238" priority="310" operator="lessThan">
      <formula>0.3</formula>
    </cfRule>
  </conditionalFormatting>
  <conditionalFormatting sqref="Y394:Z394">
    <cfRule type="cellIs" dxfId="237" priority="311" operator="lessThan">
      <formula>0.7</formula>
    </cfRule>
    <cfRule type="cellIs" dxfId="236" priority="312" operator="lessThanOrEqual">
      <formula>1</formula>
    </cfRule>
  </conditionalFormatting>
  <conditionalFormatting sqref="U429:V429">
    <cfRule type="cellIs" dxfId="235" priority="307" operator="lessThan">
      <formula>0.3</formula>
    </cfRule>
  </conditionalFormatting>
  <conditionalFormatting sqref="U429:V429">
    <cfRule type="cellIs" dxfId="234" priority="308" operator="lessThan">
      <formula>0.7</formula>
    </cfRule>
    <cfRule type="cellIs" dxfId="233" priority="309" operator="lessThanOrEqual">
      <formula>1</formula>
    </cfRule>
  </conditionalFormatting>
  <conditionalFormatting sqref="W429:X429">
    <cfRule type="cellIs" dxfId="232" priority="304" operator="lessThan">
      <formula>0.3</formula>
    </cfRule>
  </conditionalFormatting>
  <conditionalFormatting sqref="W429:X429">
    <cfRule type="cellIs" dxfId="231" priority="305" operator="lessThan">
      <formula>0.7</formula>
    </cfRule>
    <cfRule type="cellIs" dxfId="230" priority="306" operator="lessThanOrEqual">
      <formula>1</formula>
    </cfRule>
  </conditionalFormatting>
  <conditionalFormatting sqref="Y429:Z429">
    <cfRule type="cellIs" dxfId="229" priority="301" operator="lessThan">
      <formula>0.3</formula>
    </cfRule>
  </conditionalFormatting>
  <conditionalFormatting sqref="Y429:Z429">
    <cfRule type="cellIs" dxfId="228" priority="302" operator="lessThan">
      <formula>0.7</formula>
    </cfRule>
    <cfRule type="cellIs" dxfId="227" priority="303" operator="lessThanOrEqual">
      <formula>1</formula>
    </cfRule>
  </conditionalFormatting>
  <conditionalFormatting sqref="U464:V464">
    <cfRule type="cellIs" dxfId="226" priority="298" operator="lessThan">
      <formula>0.3</formula>
    </cfRule>
  </conditionalFormatting>
  <conditionalFormatting sqref="U464:V464">
    <cfRule type="cellIs" dxfId="225" priority="299" operator="lessThan">
      <formula>0.7</formula>
    </cfRule>
    <cfRule type="cellIs" dxfId="224" priority="300" operator="lessThanOrEqual">
      <formula>1</formula>
    </cfRule>
  </conditionalFormatting>
  <conditionalFormatting sqref="W464:X464">
    <cfRule type="cellIs" dxfId="223" priority="295" operator="lessThan">
      <formula>0.3</formula>
    </cfRule>
  </conditionalFormatting>
  <conditionalFormatting sqref="W464:X464">
    <cfRule type="cellIs" dxfId="222" priority="296" operator="lessThan">
      <formula>0.7</formula>
    </cfRule>
    <cfRule type="cellIs" dxfId="221" priority="297" operator="lessThanOrEqual">
      <formula>1</formula>
    </cfRule>
  </conditionalFormatting>
  <conditionalFormatting sqref="Y464:Z464">
    <cfRule type="cellIs" dxfId="220" priority="292" operator="lessThan">
      <formula>0.3</formula>
    </cfRule>
  </conditionalFormatting>
  <conditionalFormatting sqref="Y464:Z464">
    <cfRule type="cellIs" dxfId="219" priority="293" operator="lessThan">
      <formula>0.7</formula>
    </cfRule>
    <cfRule type="cellIs" dxfId="218" priority="294" operator="lessThanOrEqual">
      <formula>1</formula>
    </cfRule>
  </conditionalFormatting>
  <conditionalFormatting sqref="U498:V498">
    <cfRule type="cellIs" dxfId="217" priority="289" operator="lessThan">
      <formula>0.3</formula>
    </cfRule>
  </conditionalFormatting>
  <conditionalFormatting sqref="U498:V498">
    <cfRule type="cellIs" dxfId="216" priority="290" operator="lessThan">
      <formula>0.7</formula>
    </cfRule>
    <cfRule type="cellIs" dxfId="215" priority="291" operator="lessThanOrEqual">
      <formula>1</formula>
    </cfRule>
  </conditionalFormatting>
  <conditionalFormatting sqref="W498:X498">
    <cfRule type="cellIs" dxfId="214" priority="286" operator="lessThan">
      <formula>0.3</formula>
    </cfRule>
  </conditionalFormatting>
  <conditionalFormatting sqref="W498:X498">
    <cfRule type="cellIs" dxfId="213" priority="287" operator="lessThan">
      <formula>0.7</formula>
    </cfRule>
    <cfRule type="cellIs" dxfId="212" priority="288" operator="lessThanOrEqual">
      <formula>1</formula>
    </cfRule>
  </conditionalFormatting>
  <conditionalFormatting sqref="Y498:Z498">
    <cfRule type="cellIs" dxfId="211" priority="283" operator="lessThan">
      <formula>0.3</formula>
    </cfRule>
  </conditionalFormatting>
  <conditionalFormatting sqref="Y498:Z498">
    <cfRule type="cellIs" dxfId="210" priority="284" operator="lessThan">
      <formula>0.7</formula>
    </cfRule>
    <cfRule type="cellIs" dxfId="209" priority="285" operator="lessThanOrEqual">
      <formula>1</formula>
    </cfRule>
  </conditionalFormatting>
  <conditionalFormatting sqref="U531:V531">
    <cfRule type="cellIs" dxfId="208" priority="280" operator="lessThan">
      <formula>0.3</formula>
    </cfRule>
  </conditionalFormatting>
  <conditionalFormatting sqref="U531:V531">
    <cfRule type="cellIs" dxfId="207" priority="281" operator="lessThan">
      <formula>0.7</formula>
    </cfRule>
    <cfRule type="cellIs" dxfId="206" priority="282" operator="lessThanOrEqual">
      <formula>1</formula>
    </cfRule>
  </conditionalFormatting>
  <conditionalFormatting sqref="W531:X531">
    <cfRule type="cellIs" dxfId="205" priority="277" operator="lessThan">
      <formula>0.3</formula>
    </cfRule>
  </conditionalFormatting>
  <conditionalFormatting sqref="W531:X531">
    <cfRule type="cellIs" dxfId="204" priority="278" operator="lessThan">
      <formula>0.7</formula>
    </cfRule>
    <cfRule type="cellIs" dxfId="203" priority="279" operator="lessThanOrEqual">
      <formula>1</formula>
    </cfRule>
  </conditionalFormatting>
  <conditionalFormatting sqref="Y531:Z531">
    <cfRule type="cellIs" dxfId="202" priority="274" operator="lessThan">
      <formula>0.3</formula>
    </cfRule>
  </conditionalFormatting>
  <conditionalFormatting sqref="Y531:Z531">
    <cfRule type="cellIs" dxfId="201" priority="275" operator="lessThan">
      <formula>0.7</formula>
    </cfRule>
    <cfRule type="cellIs" dxfId="200" priority="276" operator="lessThanOrEqual">
      <formula>1</formula>
    </cfRule>
  </conditionalFormatting>
  <conditionalFormatting sqref="U564:V564">
    <cfRule type="cellIs" dxfId="199" priority="271" operator="lessThan">
      <formula>0.3</formula>
    </cfRule>
  </conditionalFormatting>
  <conditionalFormatting sqref="U564:V564">
    <cfRule type="cellIs" dxfId="198" priority="272" operator="lessThan">
      <formula>0.7</formula>
    </cfRule>
    <cfRule type="cellIs" dxfId="197" priority="273" operator="lessThanOrEqual">
      <formula>1</formula>
    </cfRule>
  </conditionalFormatting>
  <conditionalFormatting sqref="W564:X564">
    <cfRule type="cellIs" dxfId="196" priority="268" operator="lessThan">
      <formula>0.3</formula>
    </cfRule>
  </conditionalFormatting>
  <conditionalFormatting sqref="W564:X564">
    <cfRule type="cellIs" dxfId="195" priority="269" operator="lessThan">
      <formula>0.7</formula>
    </cfRule>
    <cfRule type="cellIs" dxfId="194" priority="270" operator="lessThanOrEqual">
      <formula>1</formula>
    </cfRule>
  </conditionalFormatting>
  <conditionalFormatting sqref="Y564:Z564">
    <cfRule type="cellIs" dxfId="193" priority="265" operator="lessThan">
      <formula>0.3</formula>
    </cfRule>
  </conditionalFormatting>
  <conditionalFormatting sqref="Y564:Z564">
    <cfRule type="cellIs" dxfId="192" priority="266" operator="lessThan">
      <formula>0.7</formula>
    </cfRule>
    <cfRule type="cellIs" dxfId="191" priority="267" operator="lessThanOrEqual">
      <formula>1</formula>
    </cfRule>
  </conditionalFormatting>
  <conditionalFormatting sqref="U598:V598">
    <cfRule type="cellIs" dxfId="190" priority="262" operator="lessThan">
      <formula>0.3</formula>
    </cfRule>
  </conditionalFormatting>
  <conditionalFormatting sqref="U598:V598">
    <cfRule type="cellIs" dxfId="189" priority="263" operator="lessThan">
      <formula>0.7</formula>
    </cfRule>
    <cfRule type="cellIs" dxfId="188" priority="264" operator="lessThanOrEqual">
      <formula>1</formula>
    </cfRule>
  </conditionalFormatting>
  <conditionalFormatting sqref="W598:X598">
    <cfRule type="cellIs" dxfId="187" priority="259" operator="lessThan">
      <formula>0.3</formula>
    </cfRule>
  </conditionalFormatting>
  <conditionalFormatting sqref="W598:X598">
    <cfRule type="cellIs" dxfId="186" priority="260" operator="lessThan">
      <formula>0.7</formula>
    </cfRule>
    <cfRule type="cellIs" dxfId="185" priority="261" operator="lessThanOrEqual">
      <formula>1</formula>
    </cfRule>
  </conditionalFormatting>
  <conditionalFormatting sqref="Y598:Z598">
    <cfRule type="cellIs" dxfId="184" priority="256" operator="lessThan">
      <formula>0.3</formula>
    </cfRule>
  </conditionalFormatting>
  <conditionalFormatting sqref="Y598:Z598">
    <cfRule type="cellIs" dxfId="183" priority="257" operator="lessThan">
      <formula>0.7</formula>
    </cfRule>
    <cfRule type="cellIs" dxfId="182" priority="258" operator="lessThanOrEqual">
      <formula>1</formula>
    </cfRule>
  </conditionalFormatting>
  <conditionalFormatting sqref="U631:V631">
    <cfRule type="cellIs" dxfId="181" priority="253" operator="lessThan">
      <formula>0.3</formula>
    </cfRule>
  </conditionalFormatting>
  <conditionalFormatting sqref="U631:V631">
    <cfRule type="cellIs" dxfId="180" priority="254" operator="lessThan">
      <formula>0.7</formula>
    </cfRule>
    <cfRule type="cellIs" dxfId="179" priority="255" operator="lessThanOrEqual">
      <formula>1</formula>
    </cfRule>
  </conditionalFormatting>
  <conditionalFormatting sqref="W631:X631">
    <cfRule type="cellIs" dxfId="178" priority="250" operator="lessThan">
      <formula>0.3</formula>
    </cfRule>
  </conditionalFormatting>
  <conditionalFormatting sqref="W631:X631">
    <cfRule type="cellIs" dxfId="177" priority="251" operator="lessThan">
      <formula>0.7</formula>
    </cfRule>
    <cfRule type="cellIs" dxfId="176" priority="252" operator="lessThanOrEqual">
      <formula>1</formula>
    </cfRule>
  </conditionalFormatting>
  <conditionalFormatting sqref="Y631:Z631">
    <cfRule type="cellIs" dxfId="175" priority="247" operator="lessThan">
      <formula>0.3</formula>
    </cfRule>
  </conditionalFormatting>
  <conditionalFormatting sqref="Y631:Z631">
    <cfRule type="cellIs" dxfId="174" priority="248" operator="lessThan">
      <formula>0.7</formula>
    </cfRule>
    <cfRule type="cellIs" dxfId="173" priority="249" operator="lessThanOrEqual">
      <formula>1</formula>
    </cfRule>
  </conditionalFormatting>
  <conditionalFormatting sqref="U664:V664">
    <cfRule type="cellIs" dxfId="172" priority="244" operator="lessThan">
      <formula>0.3</formula>
    </cfRule>
  </conditionalFormatting>
  <conditionalFormatting sqref="U664:V664">
    <cfRule type="cellIs" dxfId="171" priority="245" operator="lessThan">
      <formula>0.7</formula>
    </cfRule>
    <cfRule type="cellIs" dxfId="170" priority="246" operator="lessThanOrEqual">
      <formula>1</formula>
    </cfRule>
  </conditionalFormatting>
  <conditionalFormatting sqref="W664:X664">
    <cfRule type="cellIs" dxfId="169" priority="241" operator="lessThan">
      <formula>0.3</formula>
    </cfRule>
  </conditionalFormatting>
  <conditionalFormatting sqref="W664:X664">
    <cfRule type="cellIs" dxfId="168" priority="242" operator="lessThan">
      <formula>0.7</formula>
    </cfRule>
    <cfRule type="cellIs" dxfId="167" priority="243" operator="lessThanOrEqual">
      <formula>1</formula>
    </cfRule>
  </conditionalFormatting>
  <conditionalFormatting sqref="Y664:Z664">
    <cfRule type="cellIs" dxfId="166" priority="238" operator="lessThan">
      <formula>0.3</formula>
    </cfRule>
  </conditionalFormatting>
  <conditionalFormatting sqref="Y664:Z664">
    <cfRule type="cellIs" dxfId="165" priority="239" operator="lessThan">
      <formula>0.7</formula>
    </cfRule>
    <cfRule type="cellIs" dxfId="164" priority="240" operator="lessThanOrEqual">
      <formula>1</formula>
    </cfRule>
  </conditionalFormatting>
  <conditionalFormatting sqref="U697:V697">
    <cfRule type="cellIs" dxfId="163" priority="235" operator="lessThan">
      <formula>0.3</formula>
    </cfRule>
  </conditionalFormatting>
  <conditionalFormatting sqref="U697:V697">
    <cfRule type="cellIs" dxfId="162" priority="236" operator="lessThan">
      <formula>0.7</formula>
    </cfRule>
    <cfRule type="cellIs" dxfId="161" priority="237" operator="lessThanOrEqual">
      <formula>1</formula>
    </cfRule>
  </conditionalFormatting>
  <conditionalFormatting sqref="W697:X697">
    <cfRule type="cellIs" dxfId="160" priority="232" operator="lessThan">
      <formula>0.3</formula>
    </cfRule>
  </conditionalFormatting>
  <conditionalFormatting sqref="W697:X697">
    <cfRule type="cellIs" dxfId="159" priority="233" operator="lessThan">
      <formula>0.7</formula>
    </cfRule>
    <cfRule type="cellIs" dxfId="158" priority="234" operator="lessThanOrEqual">
      <formula>1</formula>
    </cfRule>
  </conditionalFormatting>
  <conditionalFormatting sqref="Y697:Z697">
    <cfRule type="cellIs" dxfId="157" priority="229" operator="lessThan">
      <formula>0.3</formula>
    </cfRule>
  </conditionalFormatting>
  <conditionalFormatting sqref="Y697:Z697">
    <cfRule type="cellIs" dxfId="156" priority="230" operator="lessThan">
      <formula>0.7</formula>
    </cfRule>
    <cfRule type="cellIs" dxfId="155" priority="231" operator="lessThanOrEqual">
      <formula>1</formula>
    </cfRule>
  </conditionalFormatting>
  <conditionalFormatting sqref="U731:V731">
    <cfRule type="cellIs" dxfId="154" priority="226" operator="lessThan">
      <formula>0.3</formula>
    </cfRule>
  </conditionalFormatting>
  <conditionalFormatting sqref="U731:V731">
    <cfRule type="cellIs" dxfId="153" priority="227" operator="lessThan">
      <formula>0.7</formula>
    </cfRule>
    <cfRule type="cellIs" dxfId="152" priority="228" operator="lessThanOrEqual">
      <formula>1</formula>
    </cfRule>
  </conditionalFormatting>
  <conditionalFormatting sqref="W731:X731">
    <cfRule type="cellIs" dxfId="151" priority="223" operator="lessThan">
      <formula>0.3</formula>
    </cfRule>
  </conditionalFormatting>
  <conditionalFormatting sqref="W731:X731">
    <cfRule type="cellIs" dxfId="150" priority="224" operator="lessThan">
      <formula>0.7</formula>
    </cfRule>
    <cfRule type="cellIs" dxfId="149" priority="225" operator="lessThanOrEqual">
      <formula>1</formula>
    </cfRule>
  </conditionalFormatting>
  <conditionalFormatting sqref="Y731:Z731">
    <cfRule type="cellIs" dxfId="148" priority="220" operator="lessThan">
      <formula>0.3</formula>
    </cfRule>
  </conditionalFormatting>
  <conditionalFormatting sqref="Y731:Z731">
    <cfRule type="cellIs" dxfId="147" priority="221" operator="lessThan">
      <formula>0.7</formula>
    </cfRule>
    <cfRule type="cellIs" dxfId="146" priority="222" operator="lessThanOrEqual">
      <formula>1</formula>
    </cfRule>
  </conditionalFormatting>
  <conditionalFormatting sqref="U765:V765">
    <cfRule type="cellIs" dxfId="145" priority="217" operator="lessThan">
      <formula>0.3</formula>
    </cfRule>
  </conditionalFormatting>
  <conditionalFormatting sqref="U765:V765">
    <cfRule type="cellIs" dxfId="144" priority="218" operator="lessThan">
      <formula>0.7</formula>
    </cfRule>
    <cfRule type="cellIs" dxfId="143" priority="219" operator="lessThanOrEqual">
      <formula>1</formula>
    </cfRule>
  </conditionalFormatting>
  <conditionalFormatting sqref="W765:X765">
    <cfRule type="cellIs" dxfId="142" priority="214" operator="lessThan">
      <formula>0.3</formula>
    </cfRule>
  </conditionalFormatting>
  <conditionalFormatting sqref="W765:X765">
    <cfRule type="cellIs" dxfId="141" priority="215" operator="lessThan">
      <formula>0.7</formula>
    </cfRule>
    <cfRule type="cellIs" dxfId="140" priority="216" operator="lessThanOrEqual">
      <formula>1</formula>
    </cfRule>
  </conditionalFormatting>
  <conditionalFormatting sqref="Y765:Z765">
    <cfRule type="cellIs" dxfId="139" priority="211" operator="lessThan">
      <formula>0.3</formula>
    </cfRule>
  </conditionalFormatting>
  <conditionalFormatting sqref="Y765:Z765">
    <cfRule type="cellIs" dxfId="138" priority="212" operator="lessThan">
      <formula>0.7</formula>
    </cfRule>
    <cfRule type="cellIs" dxfId="137" priority="213" operator="lessThanOrEqual">
      <formula>1</formula>
    </cfRule>
  </conditionalFormatting>
  <conditionalFormatting sqref="U834:V834">
    <cfRule type="cellIs" dxfId="136" priority="208" operator="lessThan">
      <formula>0.3</formula>
    </cfRule>
  </conditionalFormatting>
  <conditionalFormatting sqref="U834:V834">
    <cfRule type="cellIs" dxfId="135" priority="209" operator="lessThan">
      <formula>0.7</formula>
    </cfRule>
    <cfRule type="cellIs" dxfId="134" priority="210" operator="lessThanOrEqual">
      <formula>1</formula>
    </cfRule>
  </conditionalFormatting>
  <conditionalFormatting sqref="W834:X834">
    <cfRule type="cellIs" dxfId="133" priority="205" operator="lessThan">
      <formula>0.3</formula>
    </cfRule>
  </conditionalFormatting>
  <conditionalFormatting sqref="W834:X834">
    <cfRule type="cellIs" dxfId="132" priority="206" operator="lessThan">
      <formula>0.7</formula>
    </cfRule>
    <cfRule type="cellIs" dxfId="131" priority="207" operator="lessThanOrEqual">
      <formula>1</formula>
    </cfRule>
  </conditionalFormatting>
  <conditionalFormatting sqref="Y834:Z834">
    <cfRule type="cellIs" dxfId="130" priority="202" operator="lessThan">
      <formula>0.3</formula>
    </cfRule>
  </conditionalFormatting>
  <conditionalFormatting sqref="Y834:Z834">
    <cfRule type="cellIs" dxfId="129" priority="203" operator="lessThan">
      <formula>0.7</formula>
    </cfRule>
    <cfRule type="cellIs" dxfId="128" priority="204" operator="lessThanOrEqual">
      <formula>1</formula>
    </cfRule>
  </conditionalFormatting>
  <conditionalFormatting sqref="U800:V800">
    <cfRule type="cellIs" dxfId="127" priority="199" operator="lessThan">
      <formula>0.3</formula>
    </cfRule>
  </conditionalFormatting>
  <conditionalFormatting sqref="U800:V800">
    <cfRule type="cellIs" dxfId="126" priority="200" operator="lessThan">
      <formula>0.7</formula>
    </cfRule>
    <cfRule type="cellIs" dxfId="125" priority="201" operator="lessThanOrEqual">
      <formula>1</formula>
    </cfRule>
  </conditionalFormatting>
  <conditionalFormatting sqref="W800:X800">
    <cfRule type="cellIs" dxfId="124" priority="196" operator="lessThan">
      <formula>0.3</formula>
    </cfRule>
  </conditionalFormatting>
  <conditionalFormatting sqref="W800:X800">
    <cfRule type="cellIs" dxfId="123" priority="197" operator="lessThan">
      <formula>0.7</formula>
    </cfRule>
    <cfRule type="cellIs" dxfId="122" priority="198" operator="lessThanOrEqual">
      <formula>1</formula>
    </cfRule>
  </conditionalFormatting>
  <conditionalFormatting sqref="Y800:Z800">
    <cfRule type="cellIs" dxfId="121" priority="193" operator="lessThan">
      <formula>0.3</formula>
    </cfRule>
  </conditionalFormatting>
  <conditionalFormatting sqref="Y800:Z800">
    <cfRule type="cellIs" dxfId="120" priority="194" operator="lessThan">
      <formula>0.7</formula>
    </cfRule>
    <cfRule type="cellIs" dxfId="119" priority="195" operator="lessThanOrEqual">
      <formula>1</formula>
    </cfRule>
  </conditionalFormatting>
  <conditionalFormatting sqref="AF11:AG11">
    <cfRule type="cellIs" dxfId="118" priority="190" operator="lessThan">
      <formula>0.3</formula>
    </cfRule>
  </conditionalFormatting>
  <conditionalFormatting sqref="AF11:AG11">
    <cfRule type="cellIs" dxfId="117" priority="191" operator="lessThan">
      <formula>0.7</formula>
    </cfRule>
    <cfRule type="cellIs" dxfId="116" priority="192" operator="lessThanOrEqual">
      <formula>1</formula>
    </cfRule>
  </conditionalFormatting>
  <conditionalFormatting sqref="AH11:AI11">
    <cfRule type="cellIs" dxfId="115" priority="187" operator="lessThan">
      <formula>0.3</formula>
    </cfRule>
  </conditionalFormatting>
  <conditionalFormatting sqref="AH11:AI11">
    <cfRule type="cellIs" dxfId="114" priority="188" operator="lessThan">
      <formula>0.7</formula>
    </cfRule>
    <cfRule type="cellIs" dxfId="113" priority="189" operator="lessThanOrEqual">
      <formula>1</formula>
    </cfRule>
  </conditionalFormatting>
  <conditionalFormatting sqref="AJ11:AK11">
    <cfRule type="cellIs" dxfId="112" priority="184" operator="lessThan">
      <formula>0.3</formula>
    </cfRule>
  </conditionalFormatting>
  <conditionalFormatting sqref="AJ11:AK11">
    <cfRule type="cellIs" dxfId="111" priority="185" operator="lessThan">
      <formula>0.7</formula>
    </cfRule>
    <cfRule type="cellIs" dxfId="110" priority="186" operator="lessThanOrEqual">
      <formula>1</formula>
    </cfRule>
  </conditionalFormatting>
  <conditionalFormatting sqref="AF45:AG45">
    <cfRule type="cellIs" dxfId="109" priority="181" operator="lessThan">
      <formula>0.3</formula>
    </cfRule>
  </conditionalFormatting>
  <conditionalFormatting sqref="AF45:AG45">
    <cfRule type="cellIs" dxfId="108" priority="182" operator="lessThan">
      <formula>0.7</formula>
    </cfRule>
    <cfRule type="cellIs" dxfId="107" priority="183" operator="lessThanOrEqual">
      <formula>1</formula>
    </cfRule>
  </conditionalFormatting>
  <conditionalFormatting sqref="AH45:AI45">
    <cfRule type="cellIs" dxfId="106" priority="178" operator="lessThan">
      <formula>0.3</formula>
    </cfRule>
  </conditionalFormatting>
  <conditionalFormatting sqref="AH45:AI45">
    <cfRule type="cellIs" dxfId="105" priority="179" operator="lessThan">
      <formula>0.7</formula>
    </cfRule>
    <cfRule type="cellIs" dxfId="104" priority="180" operator="lessThanOrEqual">
      <formula>1</formula>
    </cfRule>
  </conditionalFormatting>
  <conditionalFormatting sqref="AJ45:AK45">
    <cfRule type="cellIs" dxfId="103" priority="175" operator="lessThan">
      <formula>0.3</formula>
    </cfRule>
  </conditionalFormatting>
  <conditionalFormatting sqref="AJ45:AK45">
    <cfRule type="cellIs" dxfId="102" priority="176" operator="lessThan">
      <formula>0.7</formula>
    </cfRule>
    <cfRule type="cellIs" dxfId="101" priority="177" operator="lessThanOrEqual">
      <formula>1</formula>
    </cfRule>
  </conditionalFormatting>
  <conditionalFormatting sqref="AF81:AG81">
    <cfRule type="cellIs" dxfId="100" priority="172" operator="lessThan">
      <formula>0.3</formula>
    </cfRule>
  </conditionalFormatting>
  <conditionalFormatting sqref="AF81:AG81">
    <cfRule type="cellIs" dxfId="99" priority="173" operator="lessThan">
      <formula>0.7</formula>
    </cfRule>
    <cfRule type="cellIs" dxfId="98" priority="174" operator="lessThanOrEqual">
      <formula>1</formula>
    </cfRule>
  </conditionalFormatting>
  <conditionalFormatting sqref="AH81:AI81">
    <cfRule type="cellIs" dxfId="97" priority="169" operator="lessThan">
      <formula>0.3</formula>
    </cfRule>
  </conditionalFormatting>
  <conditionalFormatting sqref="AH81:AI81">
    <cfRule type="cellIs" dxfId="96" priority="170" operator="lessThan">
      <formula>0.7</formula>
    </cfRule>
    <cfRule type="cellIs" dxfId="95" priority="171" operator="lessThanOrEqual">
      <formula>1</formula>
    </cfRule>
  </conditionalFormatting>
  <conditionalFormatting sqref="AJ81:AK81">
    <cfRule type="cellIs" dxfId="94" priority="166" operator="lessThan">
      <formula>0.3</formula>
    </cfRule>
  </conditionalFormatting>
  <conditionalFormatting sqref="AJ81:AK81">
    <cfRule type="cellIs" dxfId="93" priority="167" operator="lessThan">
      <formula>0.7</formula>
    </cfRule>
    <cfRule type="cellIs" dxfId="92" priority="168" operator="lessThanOrEqual">
      <formula>1</formula>
    </cfRule>
  </conditionalFormatting>
  <conditionalFormatting sqref="AF114:AG114">
    <cfRule type="cellIs" dxfId="91" priority="163" operator="lessThan">
      <formula>0.3</formula>
    </cfRule>
  </conditionalFormatting>
  <conditionalFormatting sqref="AF114:AG114">
    <cfRule type="cellIs" dxfId="90" priority="164" operator="lessThan">
      <formula>0.7</formula>
    </cfRule>
    <cfRule type="cellIs" dxfId="89" priority="165" operator="lessThanOrEqual">
      <formula>1</formula>
    </cfRule>
  </conditionalFormatting>
  <conditionalFormatting sqref="AH114:AI114">
    <cfRule type="cellIs" dxfId="88" priority="160" operator="lessThan">
      <formula>0.3</formula>
    </cfRule>
  </conditionalFormatting>
  <conditionalFormatting sqref="AH114:AI114">
    <cfRule type="cellIs" dxfId="87" priority="161" operator="lessThan">
      <formula>0.7</formula>
    </cfRule>
    <cfRule type="cellIs" dxfId="86" priority="162" operator="lessThanOrEqual">
      <formula>1</formula>
    </cfRule>
  </conditionalFormatting>
  <conditionalFormatting sqref="AJ114:AK114">
    <cfRule type="cellIs" dxfId="85" priority="157" operator="lessThan">
      <formula>0.3</formula>
    </cfRule>
  </conditionalFormatting>
  <conditionalFormatting sqref="AJ114:AK114">
    <cfRule type="cellIs" dxfId="84" priority="158" operator="lessThan">
      <formula>0.7</formula>
    </cfRule>
    <cfRule type="cellIs" dxfId="83" priority="159" operator="lessThanOrEqual">
      <formula>1</formula>
    </cfRule>
  </conditionalFormatting>
  <conditionalFormatting sqref="AO11:AP11">
    <cfRule type="cellIs" dxfId="82" priority="109" operator="lessThan">
      <formula>0.3</formula>
    </cfRule>
  </conditionalFormatting>
  <conditionalFormatting sqref="AO11:AP11">
    <cfRule type="cellIs" dxfId="81" priority="110" operator="lessThan">
      <formula>0.7</formula>
    </cfRule>
    <cfRule type="cellIs" dxfId="80" priority="111" operator="lessThanOrEqual">
      <formula>1</formula>
    </cfRule>
  </conditionalFormatting>
  <conditionalFormatting sqref="AQ11:AR11">
    <cfRule type="cellIs" dxfId="79" priority="106" operator="lessThan">
      <formula>0.3</formula>
    </cfRule>
  </conditionalFormatting>
  <conditionalFormatting sqref="AQ11:AR11">
    <cfRule type="cellIs" dxfId="78" priority="107" operator="lessThan">
      <formula>0.7</formula>
    </cfRule>
    <cfRule type="cellIs" dxfId="77" priority="108" operator="lessThanOrEqual">
      <formula>1</formula>
    </cfRule>
  </conditionalFormatting>
  <conditionalFormatting sqref="AS11:AT11">
    <cfRule type="cellIs" dxfId="76" priority="103" operator="lessThan">
      <formula>0.3</formula>
    </cfRule>
  </conditionalFormatting>
  <conditionalFormatting sqref="AS11:AT11">
    <cfRule type="cellIs" dxfId="75" priority="104" operator="lessThan">
      <formula>0.7</formula>
    </cfRule>
    <cfRule type="cellIs" dxfId="74" priority="105" operator="lessThanOrEqual">
      <formula>1</formula>
    </cfRule>
  </conditionalFormatting>
  <conditionalFormatting sqref="AO45:AP45">
    <cfRule type="cellIs" dxfId="73" priority="100" operator="lessThan">
      <formula>0.3</formula>
    </cfRule>
  </conditionalFormatting>
  <conditionalFormatting sqref="AO45:AP45">
    <cfRule type="cellIs" dxfId="72" priority="101" operator="lessThan">
      <formula>0.7</formula>
    </cfRule>
    <cfRule type="cellIs" dxfId="71" priority="102" operator="lessThanOrEqual">
      <formula>1</formula>
    </cfRule>
  </conditionalFormatting>
  <conditionalFormatting sqref="AQ45:AR45">
    <cfRule type="cellIs" dxfId="70" priority="97" operator="lessThan">
      <formula>0.3</formula>
    </cfRule>
  </conditionalFormatting>
  <conditionalFormatting sqref="AQ45:AR45">
    <cfRule type="cellIs" dxfId="69" priority="98" operator="lessThan">
      <formula>0.7</formula>
    </cfRule>
    <cfRule type="cellIs" dxfId="68" priority="99" operator="lessThanOrEqual">
      <formula>1</formula>
    </cfRule>
  </conditionalFormatting>
  <conditionalFormatting sqref="AS45:AT45">
    <cfRule type="cellIs" dxfId="67" priority="94" operator="lessThan">
      <formula>0.3</formula>
    </cfRule>
  </conditionalFormatting>
  <conditionalFormatting sqref="AS45:AT45">
    <cfRule type="cellIs" dxfId="66" priority="95" operator="lessThan">
      <formula>0.7</formula>
    </cfRule>
    <cfRule type="cellIs" dxfId="65" priority="96" operator="lessThanOrEqual">
      <formula>1</formula>
    </cfRule>
  </conditionalFormatting>
  <conditionalFormatting sqref="AO79:AP79">
    <cfRule type="cellIs" dxfId="64" priority="82" operator="lessThan">
      <formula>0.3</formula>
    </cfRule>
  </conditionalFormatting>
  <conditionalFormatting sqref="AO79:AP79">
    <cfRule type="cellIs" dxfId="63" priority="83" operator="lessThan">
      <formula>0.7</formula>
    </cfRule>
    <cfRule type="cellIs" dxfId="62" priority="84" operator="lessThanOrEqual">
      <formula>1</formula>
    </cfRule>
  </conditionalFormatting>
  <conditionalFormatting sqref="AQ79:AR79">
    <cfRule type="cellIs" dxfId="61" priority="79" operator="lessThan">
      <formula>0.3</formula>
    </cfRule>
  </conditionalFormatting>
  <conditionalFormatting sqref="AQ79:AR79">
    <cfRule type="cellIs" dxfId="60" priority="80" operator="lessThan">
      <formula>0.7</formula>
    </cfRule>
    <cfRule type="cellIs" dxfId="59" priority="81" operator="lessThanOrEqual">
      <formula>1</formula>
    </cfRule>
  </conditionalFormatting>
  <conditionalFormatting sqref="AS79:AT79">
    <cfRule type="cellIs" dxfId="58" priority="76" operator="lessThan">
      <formula>0.3</formula>
    </cfRule>
  </conditionalFormatting>
  <conditionalFormatting sqref="AS79:AT79">
    <cfRule type="cellIs" dxfId="57" priority="77" operator="lessThan">
      <formula>0.7</formula>
    </cfRule>
    <cfRule type="cellIs" dxfId="56" priority="78" operator="lessThanOrEqual">
      <formula>1</formula>
    </cfRule>
  </conditionalFormatting>
  <conditionalFormatting sqref="AO112:AP112">
    <cfRule type="cellIs" dxfId="55" priority="55" operator="lessThan">
      <formula>0.3</formula>
    </cfRule>
  </conditionalFormatting>
  <conditionalFormatting sqref="AO112:AP112">
    <cfRule type="cellIs" dxfId="54" priority="56" operator="lessThan">
      <formula>0.7</formula>
    </cfRule>
    <cfRule type="cellIs" dxfId="53" priority="57" operator="lessThanOrEqual">
      <formula>1</formula>
    </cfRule>
  </conditionalFormatting>
  <conditionalFormatting sqref="AQ112:AR112">
    <cfRule type="cellIs" dxfId="52" priority="52" operator="lessThan">
      <formula>0.3</formula>
    </cfRule>
  </conditionalFormatting>
  <conditionalFormatting sqref="AQ112:AR112">
    <cfRule type="cellIs" dxfId="51" priority="53" operator="lessThan">
      <formula>0.7</formula>
    </cfRule>
    <cfRule type="cellIs" dxfId="50" priority="54" operator="lessThanOrEqual">
      <formula>1</formula>
    </cfRule>
  </conditionalFormatting>
  <conditionalFormatting sqref="AS112:AT112">
    <cfRule type="cellIs" dxfId="49" priority="49" operator="lessThan">
      <formula>0.3</formula>
    </cfRule>
  </conditionalFormatting>
  <conditionalFormatting sqref="AS112:AT112">
    <cfRule type="cellIs" dxfId="48" priority="50" operator="lessThan">
      <formula>0.7</formula>
    </cfRule>
    <cfRule type="cellIs" dxfId="47" priority="51" operator="lessThanOrEqual">
      <formula>1</formula>
    </cfRule>
  </conditionalFormatting>
  <conditionalFormatting sqref="AO146:AP146">
    <cfRule type="cellIs" dxfId="46" priority="46" operator="lessThan">
      <formula>0.3</formula>
    </cfRule>
  </conditionalFormatting>
  <conditionalFormatting sqref="AO146:AP146">
    <cfRule type="cellIs" dxfId="45" priority="47" operator="lessThan">
      <formula>0.7</formula>
    </cfRule>
    <cfRule type="cellIs" dxfId="44" priority="48" operator="lessThanOrEqual">
      <formula>1</formula>
    </cfRule>
  </conditionalFormatting>
  <conditionalFormatting sqref="AQ146:AR146">
    <cfRule type="cellIs" dxfId="43" priority="43" operator="lessThan">
      <formula>0.3</formula>
    </cfRule>
  </conditionalFormatting>
  <conditionalFormatting sqref="AQ146:AR146">
    <cfRule type="cellIs" dxfId="42" priority="44" operator="lessThan">
      <formula>0.7</formula>
    </cfRule>
    <cfRule type="cellIs" dxfId="41" priority="45" operator="lessThanOrEqual">
      <formula>1</formula>
    </cfRule>
  </conditionalFormatting>
  <conditionalFormatting sqref="AS146">
    <cfRule type="cellIs" dxfId="40" priority="40" operator="lessThan">
      <formula>0.3</formula>
    </cfRule>
  </conditionalFormatting>
  <conditionalFormatting sqref="AS146">
    <cfRule type="cellIs" dxfId="39" priority="41" operator="lessThan">
      <formula>0.7</formula>
    </cfRule>
    <cfRule type="cellIs" dxfId="38" priority="42" operator="lessThanOrEqual">
      <formula>1</formula>
    </cfRule>
  </conditionalFormatting>
  <conditionalFormatting sqref="AT146">
    <cfRule type="cellIs" dxfId="37" priority="37" operator="lessThan">
      <formula>0.3</formula>
    </cfRule>
  </conditionalFormatting>
  <conditionalFormatting sqref="AT146">
    <cfRule type="cellIs" dxfId="36" priority="38" operator="lessThan">
      <formula>0.7</formula>
    </cfRule>
    <cfRule type="cellIs" dxfId="35" priority="39" operator="lessThanOrEqual">
      <formula>1</formula>
    </cfRule>
  </conditionalFormatting>
  <conditionalFormatting sqref="AO181:AP181">
    <cfRule type="cellIs" dxfId="34" priority="34" operator="lessThan">
      <formula>0.3</formula>
    </cfRule>
  </conditionalFormatting>
  <conditionalFormatting sqref="AO181:AP181">
    <cfRule type="cellIs" dxfId="33" priority="35" operator="lessThan">
      <formula>0.7</formula>
    </cfRule>
    <cfRule type="cellIs" dxfId="32" priority="36" operator="lessThanOrEqual">
      <formula>1</formula>
    </cfRule>
  </conditionalFormatting>
  <conditionalFormatting sqref="AQ181:AR181">
    <cfRule type="cellIs" dxfId="31" priority="31" operator="lessThan">
      <formula>0.3</formula>
    </cfRule>
  </conditionalFormatting>
  <conditionalFormatting sqref="AQ181:AR181">
    <cfRule type="cellIs" dxfId="30" priority="32" operator="lessThan">
      <formula>0.7</formula>
    </cfRule>
    <cfRule type="cellIs" dxfId="29" priority="33" operator="lessThanOrEqual">
      <formula>1</formula>
    </cfRule>
  </conditionalFormatting>
  <conditionalFormatting sqref="AS181">
    <cfRule type="cellIs" dxfId="28" priority="28" operator="lessThan">
      <formula>0.3</formula>
    </cfRule>
  </conditionalFormatting>
  <conditionalFormatting sqref="AS181">
    <cfRule type="cellIs" dxfId="27" priority="29" operator="lessThan">
      <formula>0.7</formula>
    </cfRule>
    <cfRule type="cellIs" dxfId="26" priority="30" operator="lessThanOrEqual">
      <formula>1</formula>
    </cfRule>
  </conditionalFormatting>
  <conditionalFormatting sqref="AT181">
    <cfRule type="cellIs" dxfId="25" priority="26" operator="lessThan">
      <formula>0.7</formula>
    </cfRule>
    <cfRule type="cellIs" dxfId="24" priority="27" operator="lessThanOrEqual">
      <formula>1</formula>
    </cfRule>
  </conditionalFormatting>
  <conditionalFormatting sqref="AT215">
    <cfRule type="cellIs" dxfId="23" priority="13" operator="lessThan">
      <formula>0.3</formula>
    </cfRule>
  </conditionalFormatting>
  <conditionalFormatting sqref="AO215:AP215">
    <cfRule type="cellIs" dxfId="22" priority="22" operator="lessThan">
      <formula>0.3</formula>
    </cfRule>
  </conditionalFormatting>
  <conditionalFormatting sqref="AO215:AP215">
    <cfRule type="cellIs" dxfId="21" priority="23" operator="lessThan">
      <formula>0.7</formula>
    </cfRule>
    <cfRule type="cellIs" dxfId="20" priority="24" operator="lessThanOrEqual">
      <formula>1</formula>
    </cfRule>
  </conditionalFormatting>
  <conditionalFormatting sqref="AQ215:AR215">
    <cfRule type="cellIs" dxfId="19" priority="19" operator="lessThan">
      <formula>0.3</formula>
    </cfRule>
  </conditionalFormatting>
  <conditionalFormatting sqref="AQ215:AR215">
    <cfRule type="cellIs" dxfId="18" priority="20" operator="lessThan">
      <formula>0.7</formula>
    </cfRule>
    <cfRule type="cellIs" dxfId="17" priority="21" operator="lessThanOrEqual">
      <formula>1</formula>
    </cfRule>
  </conditionalFormatting>
  <conditionalFormatting sqref="AS215">
    <cfRule type="cellIs" dxfId="16" priority="16" operator="lessThan">
      <formula>0.3</formula>
    </cfRule>
  </conditionalFormatting>
  <conditionalFormatting sqref="AS215">
    <cfRule type="cellIs" dxfId="15" priority="17" operator="lessThan">
      <formula>0.7</formula>
    </cfRule>
    <cfRule type="cellIs" dxfId="14" priority="18" operator="lessThanOrEqual">
      <formula>1</formula>
    </cfRule>
  </conditionalFormatting>
  <conditionalFormatting sqref="AT215">
    <cfRule type="cellIs" dxfId="13" priority="14" operator="lessThan">
      <formula>0.7</formula>
    </cfRule>
    <cfRule type="cellIs" dxfId="12" priority="15" operator="lessThanOrEqual">
      <formula>1</formula>
    </cfRule>
  </conditionalFormatting>
  <conditionalFormatting sqref="AF148:AG148">
    <cfRule type="cellIs" dxfId="11" priority="10" operator="lessThan">
      <formula>0.3</formula>
    </cfRule>
  </conditionalFormatting>
  <conditionalFormatting sqref="AF148:AG148">
    <cfRule type="cellIs" dxfId="10" priority="11" operator="lessThan">
      <formula>0.7</formula>
    </cfRule>
    <cfRule type="cellIs" dxfId="9" priority="12" operator="lessThanOrEqual">
      <formula>1</formula>
    </cfRule>
  </conditionalFormatting>
  <conditionalFormatting sqref="AH148:AI148">
    <cfRule type="cellIs" dxfId="8" priority="7" operator="lessThan">
      <formula>0.3</formula>
    </cfRule>
  </conditionalFormatting>
  <conditionalFormatting sqref="AH148:AI148">
    <cfRule type="cellIs" dxfId="7" priority="8" operator="lessThan">
      <formula>0.7</formula>
    </cfRule>
    <cfRule type="cellIs" dxfId="6" priority="9" operator="lessThanOrEqual">
      <formula>1</formula>
    </cfRule>
  </conditionalFormatting>
  <conditionalFormatting sqref="AJ148:AK148">
    <cfRule type="cellIs" dxfId="5" priority="4" operator="lessThan">
      <formula>0.3</formula>
    </cfRule>
  </conditionalFormatting>
  <conditionalFormatting sqref="AJ148:AK148">
    <cfRule type="cellIs" dxfId="4" priority="5" operator="lessThan">
      <formula>0.7</formula>
    </cfRule>
    <cfRule type="cellIs" dxfId="3" priority="6" operator="lessThanOrEqual">
      <formula>1</formula>
    </cfRule>
  </conditionalFormatting>
  <conditionalFormatting sqref="AJ49">
    <cfRule type="cellIs" dxfId="2" priority="1" operator="lessThan">
      <formula>0.3</formula>
    </cfRule>
  </conditionalFormatting>
  <conditionalFormatting sqref="AJ49">
    <cfRule type="cellIs" dxfId="1" priority="2" operator="lessThan">
      <formula>0.7</formula>
    </cfRule>
    <cfRule type="cellIs" dxfId="0" priority="3" operator="lessThanOrEqual">
      <formula>1</formula>
    </cfRule>
  </conditionalFormatting>
  <printOptions gridLines="1"/>
  <pageMargins left="0.7" right="0.7" top="0.75" bottom="0.75" header="0.3" footer="0.3"/>
  <pageSetup scale="10" orientation="landscape" r:id="rId1"/>
  <rowBreaks count="5" manualBreakCount="5">
    <brk id="196" max="16383" man="1"/>
    <brk id="240" max="16383" man="1"/>
    <brk id="391" max="16383" man="1"/>
    <brk id="548" max="16383" man="1"/>
    <brk id="707" max="16383" man="1"/>
  </rowBreaks>
  <colBreaks count="2" manualBreakCount="2">
    <brk id="18" max="1048575" man="1"/>
    <brk id="38"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22</vt:i4>
      </vt:variant>
    </vt:vector>
  </HeadingPairs>
  <TitlesOfParts>
    <vt:vector size="28" baseType="lpstr">
      <vt:lpstr>Project Summary</vt:lpstr>
      <vt:lpstr>Catchment Assessment</vt:lpstr>
      <vt:lpstr>Parameter and Metric Selection</vt:lpstr>
      <vt:lpstr>Quantification_Tool</vt:lpstr>
      <vt:lpstr>Pull Down Notes</vt:lpstr>
      <vt:lpstr>Reference Curves</vt:lpstr>
      <vt:lpstr>BedMaterial</vt:lpstr>
      <vt:lpstr>BEHI.NBS</vt:lpstr>
      <vt:lpstr>BufferLandUse</vt:lpstr>
      <vt:lpstr>CanopyCover</vt:lpstr>
      <vt:lpstr>CatchmentAssessment</vt:lpstr>
      <vt:lpstr>Ecoregion</vt:lpstr>
      <vt:lpstr>FlowType</vt:lpstr>
      <vt:lpstr>NCMacroSamplingMethod</vt:lpstr>
      <vt:lpstr>'Catchment Assessment'!Print_Area</vt:lpstr>
      <vt:lpstr>'Project Summary'!Print_Area</vt:lpstr>
      <vt:lpstr>Quantification_Tool!Print_Area</vt:lpstr>
      <vt:lpstr>'Parameter and Metric Selection'!Print_Titles</vt:lpstr>
      <vt:lpstr>ProgramGoals</vt:lpstr>
      <vt:lpstr>ProposedBedMaterial</vt:lpstr>
      <vt:lpstr>RestorationLevel</vt:lpstr>
      <vt:lpstr>RiverBasins</vt:lpstr>
      <vt:lpstr>StreamOrder</vt:lpstr>
      <vt:lpstr>StreamType</vt:lpstr>
      <vt:lpstr>Temperature</vt:lpstr>
      <vt:lpstr>ValleySlope</vt:lpstr>
      <vt:lpstr>ValleyType</vt:lpstr>
      <vt:lpstr>Yes.No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Paxton Ramsdell</cp:lastModifiedBy>
  <cp:lastPrinted>2022-10-28T20:58:10Z</cp:lastPrinted>
  <dcterms:created xsi:type="dcterms:W3CDTF">2014-08-22T20:36:47Z</dcterms:created>
  <dcterms:modified xsi:type="dcterms:W3CDTF">2022-12-16T13:13:12Z</dcterms:modified>
</cp:coreProperties>
</file>